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 activeTab="2"/>
  </bookViews>
  <sheets>
    <sheet name="Sagomario" sheetId="1" r:id="rId1"/>
    <sheet name="Flessione" sheetId="2" r:id="rId2"/>
    <sheet name="PF" sheetId="3" r:id="rId3"/>
    <sheet name="FlesDev" sheetId="4" r:id="rId4"/>
  </sheets>
  <calcPr calcId="145621"/>
</workbook>
</file>

<file path=xl/calcChain.xml><?xml version="1.0" encoding="utf-8"?>
<calcChain xmlns="http://schemas.openxmlformats.org/spreadsheetml/2006/main">
  <c r="F48" i="4" l="1"/>
  <c r="E71" i="4" l="1"/>
  <c r="E64" i="4"/>
  <c r="E62" i="4"/>
  <c r="B62" i="4"/>
  <c r="E69" i="4"/>
  <c r="B69" i="4"/>
  <c r="B71" i="4"/>
  <c r="E67" i="4"/>
  <c r="B67" i="4"/>
  <c r="B51" i="4"/>
  <c r="B52" i="4" s="1"/>
  <c r="E32" i="4"/>
  <c r="E36" i="4"/>
  <c r="E34" i="4"/>
  <c r="E37" i="4" s="1"/>
  <c r="E18" i="4"/>
  <c r="D18" i="4"/>
  <c r="E40" i="4" s="1"/>
  <c r="E41" i="4" s="1"/>
  <c r="C18" i="4"/>
  <c r="E51" i="4" s="1"/>
  <c r="E52" i="4" s="1"/>
  <c r="B18" i="4"/>
  <c r="E17" i="4"/>
  <c r="D17" i="4"/>
  <c r="B40" i="4" s="1"/>
  <c r="B41" i="4" s="1"/>
  <c r="C17" i="4"/>
  <c r="B17" i="4"/>
  <c r="B13" i="4"/>
  <c r="B12" i="4"/>
  <c r="B11" i="4"/>
  <c r="E10" i="4"/>
  <c r="F17" i="4" s="1"/>
  <c r="B10" i="4"/>
  <c r="E9" i="4"/>
  <c r="E60" i="4" s="1"/>
  <c r="B9" i="4"/>
  <c r="B37" i="3"/>
  <c r="B36" i="3"/>
  <c r="E18" i="3"/>
  <c r="D18" i="3"/>
  <c r="C18" i="3"/>
  <c r="B18" i="3"/>
  <c r="E17" i="3"/>
  <c r="D17" i="3"/>
  <c r="B42" i="3" s="1"/>
  <c r="B43" i="3" s="1"/>
  <c r="C17" i="3"/>
  <c r="B51" i="3" s="1"/>
  <c r="B52" i="3" s="1"/>
  <c r="B17" i="3"/>
  <c r="B13" i="3"/>
  <c r="B12" i="3"/>
  <c r="B11" i="3"/>
  <c r="E10" i="3"/>
  <c r="B45" i="3" s="1"/>
  <c r="B10" i="3"/>
  <c r="E9" i="3"/>
  <c r="B34" i="3" s="1"/>
  <c r="B38" i="3" s="1"/>
  <c r="B9" i="3"/>
  <c r="E18" i="2"/>
  <c r="E17" i="2"/>
  <c r="D18" i="2"/>
  <c r="C18" i="2"/>
  <c r="C17" i="2"/>
  <c r="B48" i="2" s="1"/>
  <c r="B49" i="2" s="1"/>
  <c r="B18" i="2"/>
  <c r="B17" i="2"/>
  <c r="E10" i="2"/>
  <c r="D17" i="2"/>
  <c r="B40" i="2" s="1"/>
  <c r="B41" i="2" s="1"/>
  <c r="B70" i="2" s="1"/>
  <c r="B9" i="2"/>
  <c r="E9" i="2"/>
  <c r="B34" i="2" s="1"/>
  <c r="B58" i="2" s="1"/>
  <c r="B13" i="2"/>
  <c r="B12" i="2"/>
  <c r="F18" i="2" s="1"/>
  <c r="B11" i="2"/>
  <c r="B10" i="2"/>
  <c r="AM58" i="1"/>
  <c r="AL58" i="1"/>
  <c r="AK58" i="1"/>
  <c r="AJ58" i="1"/>
  <c r="AI58" i="1"/>
  <c r="AH58" i="1"/>
  <c r="AG58" i="1"/>
  <c r="AF58" i="1"/>
  <c r="AE58" i="1"/>
  <c r="AD58" i="1"/>
  <c r="AB58" i="1"/>
  <c r="AC58" i="1" s="1"/>
  <c r="U58" i="1"/>
  <c r="T58" i="1"/>
  <c r="R58" i="1"/>
  <c r="K58" i="1"/>
  <c r="L58" i="1" s="1"/>
  <c r="I58" i="1"/>
  <c r="H58" i="1" s="1"/>
  <c r="AM57" i="1"/>
  <c r="AL57" i="1"/>
  <c r="AK57" i="1"/>
  <c r="AI57" i="1"/>
  <c r="AH57" i="1"/>
  <c r="AG57" i="1"/>
  <c r="AD57" i="1"/>
  <c r="AC57" i="1"/>
  <c r="AB57" i="1"/>
  <c r="T57" i="1"/>
  <c r="U57" i="1" s="1"/>
  <c r="R57" i="1"/>
  <c r="K57" i="1"/>
  <c r="L57" i="1" s="1"/>
  <c r="I57" i="1"/>
  <c r="AM56" i="1"/>
  <c r="AL56" i="1"/>
  <c r="AK56" i="1"/>
  <c r="AI56" i="1"/>
  <c r="AH56" i="1"/>
  <c r="AG56" i="1"/>
  <c r="AD56" i="1"/>
  <c r="AC56" i="1"/>
  <c r="AB56" i="1"/>
  <c r="AE56" i="1" s="1"/>
  <c r="T56" i="1"/>
  <c r="R56" i="1"/>
  <c r="L56" i="1"/>
  <c r="K56" i="1"/>
  <c r="I56" i="1"/>
  <c r="AF56" i="1" s="1"/>
  <c r="AM55" i="1"/>
  <c r="AL55" i="1"/>
  <c r="AK55" i="1"/>
  <c r="AI55" i="1"/>
  <c r="AG55" i="1"/>
  <c r="AH55" i="1" s="1"/>
  <c r="AF55" i="1"/>
  <c r="AD55" i="1"/>
  <c r="AB55" i="1"/>
  <c r="AE55" i="1" s="1"/>
  <c r="U55" i="1"/>
  <c r="T55" i="1"/>
  <c r="R55" i="1"/>
  <c r="L55" i="1"/>
  <c r="K55" i="1"/>
  <c r="I55" i="1"/>
  <c r="H55" i="1"/>
  <c r="AM54" i="1"/>
  <c r="AL54" i="1"/>
  <c r="AK54" i="1"/>
  <c r="AJ54" i="1"/>
  <c r="AI54" i="1"/>
  <c r="AH54" i="1"/>
  <c r="AG54" i="1"/>
  <c r="AF54" i="1"/>
  <c r="AE54" i="1"/>
  <c r="AD54" i="1"/>
  <c r="AB54" i="1"/>
  <c r="AC54" i="1" s="1"/>
  <c r="U54" i="1"/>
  <c r="T54" i="1"/>
  <c r="R54" i="1"/>
  <c r="K54" i="1"/>
  <c r="L54" i="1" s="1"/>
  <c r="I54" i="1"/>
  <c r="H54" i="1" s="1"/>
  <c r="AM53" i="1"/>
  <c r="AL53" i="1"/>
  <c r="AK53" i="1"/>
  <c r="AI53" i="1"/>
  <c r="AH53" i="1"/>
  <c r="AG53" i="1"/>
  <c r="AD53" i="1"/>
  <c r="AC53" i="1"/>
  <c r="AB53" i="1"/>
  <c r="T53" i="1"/>
  <c r="U53" i="1" s="1"/>
  <c r="R53" i="1"/>
  <c r="K53" i="1"/>
  <c r="L53" i="1" s="1"/>
  <c r="I53" i="1"/>
  <c r="AM52" i="1"/>
  <c r="AL52" i="1"/>
  <c r="AK52" i="1"/>
  <c r="AI52" i="1"/>
  <c r="AH52" i="1"/>
  <c r="AG52" i="1"/>
  <c r="AD52" i="1"/>
  <c r="AC52" i="1"/>
  <c r="AB52" i="1"/>
  <c r="AE52" i="1" s="1"/>
  <c r="T52" i="1"/>
  <c r="R52" i="1"/>
  <c r="L52" i="1"/>
  <c r="K52" i="1"/>
  <c r="I52" i="1"/>
  <c r="AF52" i="1" s="1"/>
  <c r="AM51" i="1"/>
  <c r="AL51" i="1"/>
  <c r="AK51" i="1"/>
  <c r="AI51" i="1"/>
  <c r="AG51" i="1"/>
  <c r="AH51" i="1" s="1"/>
  <c r="AF51" i="1"/>
  <c r="AD51" i="1"/>
  <c r="AB51" i="1"/>
  <c r="AE51" i="1" s="1"/>
  <c r="U51" i="1"/>
  <c r="T51" i="1"/>
  <c r="R51" i="1"/>
  <c r="L51" i="1"/>
  <c r="K51" i="1"/>
  <c r="I51" i="1"/>
  <c r="H51" i="1"/>
  <c r="AM50" i="1"/>
  <c r="AL50" i="1"/>
  <c r="AK50" i="1"/>
  <c r="AJ50" i="1"/>
  <c r="AI50" i="1"/>
  <c r="AH50" i="1"/>
  <c r="AG50" i="1"/>
  <c r="AF50" i="1"/>
  <c r="AE50" i="1"/>
  <c r="AD50" i="1"/>
  <c r="AB50" i="1"/>
  <c r="AC50" i="1" s="1"/>
  <c r="U50" i="1"/>
  <c r="T50" i="1"/>
  <c r="R50" i="1"/>
  <c r="K50" i="1"/>
  <c r="L50" i="1" s="1"/>
  <c r="I50" i="1"/>
  <c r="H50" i="1" s="1"/>
  <c r="AM49" i="1"/>
  <c r="AL49" i="1"/>
  <c r="AK49" i="1"/>
  <c r="AI49" i="1"/>
  <c r="AH49" i="1"/>
  <c r="AG49" i="1"/>
  <c r="AD49" i="1"/>
  <c r="AC49" i="1"/>
  <c r="AB49" i="1"/>
  <c r="T49" i="1"/>
  <c r="U49" i="1" s="1"/>
  <c r="R49" i="1"/>
  <c r="K49" i="1"/>
  <c r="L49" i="1" s="1"/>
  <c r="I49" i="1"/>
  <c r="AM48" i="1"/>
  <c r="AL48" i="1"/>
  <c r="AK48" i="1"/>
  <c r="AI48" i="1"/>
  <c r="AH48" i="1"/>
  <c r="AG48" i="1"/>
  <c r="AD48" i="1"/>
  <c r="AC48" i="1"/>
  <c r="AB48" i="1"/>
  <c r="AE48" i="1" s="1"/>
  <c r="T48" i="1"/>
  <c r="R48" i="1"/>
  <c r="L48" i="1"/>
  <c r="K48" i="1"/>
  <c r="I48" i="1"/>
  <c r="AF48" i="1" s="1"/>
  <c r="AM47" i="1"/>
  <c r="AL47" i="1"/>
  <c r="AK47" i="1"/>
  <c r="AI47" i="1"/>
  <c r="AG47" i="1"/>
  <c r="AH47" i="1" s="1"/>
  <c r="AF47" i="1"/>
  <c r="AD47" i="1"/>
  <c r="AB47" i="1"/>
  <c r="AE47" i="1" s="1"/>
  <c r="U47" i="1"/>
  <c r="T47" i="1"/>
  <c r="R47" i="1"/>
  <c r="L47" i="1"/>
  <c r="K47" i="1"/>
  <c r="I47" i="1"/>
  <c r="H47" i="1"/>
  <c r="AM46" i="1"/>
  <c r="AL46" i="1"/>
  <c r="AK46" i="1"/>
  <c r="AJ46" i="1"/>
  <c r="AI46" i="1"/>
  <c r="AH46" i="1"/>
  <c r="AG46" i="1"/>
  <c r="AF46" i="1"/>
  <c r="AE46" i="1"/>
  <c r="AD46" i="1"/>
  <c r="AB46" i="1"/>
  <c r="AC46" i="1" s="1"/>
  <c r="U46" i="1"/>
  <c r="T46" i="1"/>
  <c r="R46" i="1"/>
  <c r="K46" i="1"/>
  <c r="L46" i="1" s="1"/>
  <c r="I46" i="1"/>
  <c r="H46" i="1" s="1"/>
  <c r="AM45" i="1"/>
  <c r="AL45" i="1"/>
  <c r="AK45" i="1"/>
  <c r="AI45" i="1"/>
  <c r="AH45" i="1"/>
  <c r="AG45" i="1"/>
  <c r="AD45" i="1"/>
  <c r="AC45" i="1"/>
  <c r="AB45" i="1"/>
  <c r="T45" i="1"/>
  <c r="U45" i="1" s="1"/>
  <c r="R45" i="1"/>
  <c r="K45" i="1"/>
  <c r="L45" i="1" s="1"/>
  <c r="I45" i="1"/>
  <c r="AM44" i="1"/>
  <c r="AL44" i="1"/>
  <c r="AK44" i="1"/>
  <c r="AI44" i="1"/>
  <c r="AH44" i="1"/>
  <c r="AG44" i="1"/>
  <c r="AD44" i="1"/>
  <c r="AC44" i="1"/>
  <c r="AB44" i="1"/>
  <c r="AE44" i="1" s="1"/>
  <c r="T44" i="1"/>
  <c r="R44" i="1"/>
  <c r="L44" i="1"/>
  <c r="K44" i="1"/>
  <c r="I44" i="1"/>
  <c r="AF44" i="1" s="1"/>
  <c r="AM43" i="1"/>
  <c r="AL43" i="1"/>
  <c r="AK43" i="1"/>
  <c r="AI43" i="1"/>
  <c r="AG43" i="1"/>
  <c r="AH43" i="1" s="1"/>
  <c r="AF43" i="1"/>
  <c r="AD43" i="1"/>
  <c r="AB43" i="1"/>
  <c r="AE43" i="1" s="1"/>
  <c r="U43" i="1"/>
  <c r="T43" i="1"/>
  <c r="R43" i="1"/>
  <c r="L43" i="1"/>
  <c r="K43" i="1"/>
  <c r="I43" i="1"/>
  <c r="H43" i="1"/>
  <c r="AM42" i="1"/>
  <c r="AL42" i="1"/>
  <c r="AK42" i="1"/>
  <c r="AJ42" i="1"/>
  <c r="AI42" i="1"/>
  <c r="AH42" i="1"/>
  <c r="AG42" i="1"/>
  <c r="AF42" i="1"/>
  <c r="AE42" i="1"/>
  <c r="AD42" i="1"/>
  <c r="AB42" i="1"/>
  <c r="AC42" i="1" s="1"/>
  <c r="U42" i="1"/>
  <c r="T42" i="1"/>
  <c r="R42" i="1"/>
  <c r="K42" i="1"/>
  <c r="L42" i="1" s="1"/>
  <c r="I42" i="1"/>
  <c r="H42" i="1" s="1"/>
  <c r="AM41" i="1"/>
  <c r="AL41" i="1"/>
  <c r="AK41" i="1"/>
  <c r="AI41" i="1"/>
  <c r="AH41" i="1"/>
  <c r="AG41" i="1"/>
  <c r="AD41" i="1"/>
  <c r="AC41" i="1"/>
  <c r="AB41" i="1"/>
  <c r="T41" i="1"/>
  <c r="U41" i="1" s="1"/>
  <c r="R41" i="1"/>
  <c r="K41" i="1"/>
  <c r="L41" i="1" s="1"/>
  <c r="I41" i="1"/>
  <c r="AM40" i="1"/>
  <c r="AL40" i="1"/>
  <c r="AK40" i="1"/>
  <c r="AI40" i="1"/>
  <c r="AH40" i="1"/>
  <c r="AG40" i="1"/>
  <c r="AD40" i="1"/>
  <c r="AC40" i="1"/>
  <c r="AB40" i="1"/>
  <c r="AE40" i="1" s="1"/>
  <c r="T40" i="1"/>
  <c r="R40" i="1"/>
  <c r="L40" i="1"/>
  <c r="K40" i="1"/>
  <c r="I40" i="1"/>
  <c r="AF40" i="1" s="1"/>
  <c r="AM39" i="1"/>
  <c r="AL39" i="1"/>
  <c r="AK39" i="1"/>
  <c r="AI39" i="1"/>
  <c r="AG39" i="1"/>
  <c r="AH39" i="1" s="1"/>
  <c r="AF39" i="1"/>
  <c r="AD39" i="1"/>
  <c r="AB39" i="1"/>
  <c r="AE39" i="1" s="1"/>
  <c r="U39" i="1"/>
  <c r="T39" i="1"/>
  <c r="R39" i="1"/>
  <c r="L39" i="1"/>
  <c r="K39" i="1"/>
  <c r="I39" i="1"/>
  <c r="H39" i="1"/>
  <c r="AM38" i="1"/>
  <c r="AL38" i="1"/>
  <c r="AK38" i="1"/>
  <c r="AJ38" i="1"/>
  <c r="AI38" i="1"/>
  <c r="AH38" i="1"/>
  <c r="AG38" i="1"/>
  <c r="AF38" i="1"/>
  <c r="AE38" i="1"/>
  <c r="AD38" i="1"/>
  <c r="AB38" i="1"/>
  <c r="AC38" i="1" s="1"/>
  <c r="U38" i="1"/>
  <c r="T38" i="1"/>
  <c r="R38" i="1"/>
  <c r="K38" i="1"/>
  <c r="L38" i="1" s="1"/>
  <c r="I38" i="1"/>
  <c r="H38" i="1" s="1"/>
  <c r="AM37" i="1"/>
  <c r="AL37" i="1"/>
  <c r="AK37" i="1"/>
  <c r="AI37" i="1"/>
  <c r="AH37" i="1"/>
  <c r="AG37" i="1"/>
  <c r="AD37" i="1"/>
  <c r="AC37" i="1"/>
  <c r="AB37" i="1"/>
  <c r="T37" i="1"/>
  <c r="U37" i="1" s="1"/>
  <c r="R37" i="1"/>
  <c r="K37" i="1"/>
  <c r="L37" i="1" s="1"/>
  <c r="I37" i="1"/>
  <c r="AM36" i="1"/>
  <c r="AL36" i="1"/>
  <c r="AK36" i="1"/>
  <c r="AI36" i="1"/>
  <c r="AH36" i="1"/>
  <c r="AG36" i="1"/>
  <c r="AD36" i="1"/>
  <c r="AC36" i="1"/>
  <c r="AB36" i="1"/>
  <c r="AE36" i="1" s="1"/>
  <c r="T36" i="1"/>
  <c r="R36" i="1"/>
  <c r="L36" i="1"/>
  <c r="K36" i="1"/>
  <c r="I36" i="1"/>
  <c r="AF36" i="1" s="1"/>
  <c r="AM35" i="1"/>
  <c r="AL35" i="1"/>
  <c r="AK35" i="1"/>
  <c r="AI35" i="1"/>
  <c r="AG35" i="1"/>
  <c r="AH35" i="1" s="1"/>
  <c r="AF35" i="1"/>
  <c r="AD35" i="1"/>
  <c r="AB35" i="1"/>
  <c r="AE35" i="1" s="1"/>
  <c r="U35" i="1"/>
  <c r="T35" i="1"/>
  <c r="R35" i="1"/>
  <c r="L35" i="1"/>
  <c r="K35" i="1"/>
  <c r="I35" i="1"/>
  <c r="H35" i="1"/>
  <c r="AM34" i="1"/>
  <c r="AL34" i="1"/>
  <c r="AK34" i="1"/>
  <c r="AJ34" i="1"/>
  <c r="AI34" i="1"/>
  <c r="AH34" i="1"/>
  <c r="AG34" i="1"/>
  <c r="AF34" i="1"/>
  <c r="AE34" i="1"/>
  <c r="AD34" i="1"/>
  <c r="AB34" i="1"/>
  <c r="AC34" i="1" s="1"/>
  <c r="U34" i="1"/>
  <c r="T34" i="1"/>
  <c r="R34" i="1"/>
  <c r="K34" i="1"/>
  <c r="L34" i="1" s="1"/>
  <c r="I34" i="1"/>
  <c r="H34" i="1" s="1"/>
  <c r="AM33" i="1"/>
  <c r="AL33" i="1"/>
  <c r="AK33" i="1"/>
  <c r="AI33" i="1"/>
  <c r="AH33" i="1"/>
  <c r="AG33" i="1"/>
  <c r="AD33" i="1"/>
  <c r="AC33" i="1"/>
  <c r="AB33" i="1"/>
  <c r="T33" i="1"/>
  <c r="U33" i="1" s="1"/>
  <c r="R33" i="1"/>
  <c r="K33" i="1"/>
  <c r="L33" i="1" s="1"/>
  <c r="I33" i="1"/>
  <c r="AE33" i="1" s="1"/>
  <c r="AM32" i="1"/>
  <c r="AL32" i="1"/>
  <c r="AK32" i="1"/>
  <c r="AI32" i="1"/>
  <c r="AH32" i="1"/>
  <c r="AG32" i="1"/>
  <c r="AD32" i="1"/>
  <c r="AC32" i="1"/>
  <c r="AB32" i="1"/>
  <c r="AE32" i="1" s="1"/>
  <c r="T32" i="1"/>
  <c r="R32" i="1"/>
  <c r="L32" i="1"/>
  <c r="K32" i="1"/>
  <c r="I32" i="1"/>
  <c r="AF32" i="1" s="1"/>
  <c r="AM31" i="1"/>
  <c r="AL31" i="1"/>
  <c r="AK31" i="1"/>
  <c r="AI31" i="1"/>
  <c r="AG31" i="1"/>
  <c r="AH31" i="1" s="1"/>
  <c r="AF31" i="1"/>
  <c r="AD31" i="1"/>
  <c r="AB31" i="1"/>
  <c r="AE31" i="1" s="1"/>
  <c r="U31" i="1"/>
  <c r="T31" i="1"/>
  <c r="R31" i="1"/>
  <c r="L31" i="1"/>
  <c r="K31" i="1"/>
  <c r="I31" i="1"/>
  <c r="H31" i="1"/>
  <c r="AM30" i="1"/>
  <c r="AL30" i="1"/>
  <c r="AK30" i="1"/>
  <c r="AJ30" i="1"/>
  <c r="AI30" i="1"/>
  <c r="AH30" i="1"/>
  <c r="AG30" i="1"/>
  <c r="AF30" i="1"/>
  <c r="AE30" i="1"/>
  <c r="AD30" i="1"/>
  <c r="AB30" i="1"/>
  <c r="AC30" i="1" s="1"/>
  <c r="U30" i="1"/>
  <c r="T30" i="1"/>
  <c r="R30" i="1"/>
  <c r="K30" i="1"/>
  <c r="L30" i="1" s="1"/>
  <c r="I30" i="1"/>
  <c r="H30" i="1" s="1"/>
  <c r="AM29" i="1"/>
  <c r="AL29" i="1"/>
  <c r="AK29" i="1"/>
  <c r="AI29" i="1"/>
  <c r="AH29" i="1"/>
  <c r="AG29" i="1"/>
  <c r="AD29" i="1"/>
  <c r="AC29" i="1"/>
  <c r="AB29" i="1"/>
  <c r="T29" i="1"/>
  <c r="U29" i="1" s="1"/>
  <c r="R29" i="1"/>
  <c r="K29" i="1"/>
  <c r="L29" i="1" s="1"/>
  <c r="I29" i="1"/>
  <c r="AE29" i="1" s="1"/>
  <c r="AM28" i="1"/>
  <c r="AL28" i="1"/>
  <c r="AK28" i="1"/>
  <c r="AI28" i="1"/>
  <c r="AH28" i="1"/>
  <c r="AG28" i="1"/>
  <c r="AD28" i="1"/>
  <c r="AC28" i="1"/>
  <c r="AB28" i="1"/>
  <c r="AE28" i="1" s="1"/>
  <c r="T28" i="1"/>
  <c r="R28" i="1"/>
  <c r="L28" i="1"/>
  <c r="K28" i="1"/>
  <c r="I28" i="1"/>
  <c r="AF28" i="1" s="1"/>
  <c r="AM27" i="1"/>
  <c r="AL27" i="1"/>
  <c r="AK27" i="1"/>
  <c r="AI27" i="1"/>
  <c r="AG27" i="1"/>
  <c r="AH27" i="1" s="1"/>
  <c r="AF27" i="1"/>
  <c r="AD27" i="1"/>
  <c r="AB27" i="1"/>
  <c r="AE27" i="1" s="1"/>
  <c r="U27" i="1"/>
  <c r="T27" i="1"/>
  <c r="R27" i="1"/>
  <c r="L27" i="1"/>
  <c r="K27" i="1"/>
  <c r="I27" i="1"/>
  <c r="H27" i="1"/>
  <c r="AM26" i="1"/>
  <c r="AL26" i="1"/>
  <c r="AK26" i="1"/>
  <c r="AJ26" i="1"/>
  <c r="AI26" i="1"/>
  <c r="AH26" i="1"/>
  <c r="AG26" i="1"/>
  <c r="AF26" i="1"/>
  <c r="AE26" i="1"/>
  <c r="AD26" i="1"/>
  <c r="AB26" i="1"/>
  <c r="AC26" i="1" s="1"/>
  <c r="U26" i="1"/>
  <c r="T26" i="1"/>
  <c r="R26" i="1"/>
  <c r="K26" i="1"/>
  <c r="L26" i="1" s="1"/>
  <c r="I26" i="1"/>
  <c r="H26" i="1" s="1"/>
  <c r="AM25" i="1"/>
  <c r="AL25" i="1"/>
  <c r="AK25" i="1"/>
  <c r="AI25" i="1"/>
  <c r="AH25" i="1"/>
  <c r="AG25" i="1"/>
  <c r="AD25" i="1"/>
  <c r="AC25" i="1"/>
  <c r="AB25" i="1"/>
  <c r="T25" i="1"/>
  <c r="U25" i="1" s="1"/>
  <c r="R25" i="1"/>
  <c r="K25" i="1"/>
  <c r="L25" i="1" s="1"/>
  <c r="I25" i="1"/>
  <c r="AM24" i="1"/>
  <c r="AL24" i="1"/>
  <c r="AK24" i="1"/>
  <c r="AI24" i="1"/>
  <c r="AH24" i="1"/>
  <c r="AG24" i="1"/>
  <c r="AD24" i="1"/>
  <c r="AC24" i="1"/>
  <c r="AB24" i="1"/>
  <c r="AE24" i="1" s="1"/>
  <c r="T24" i="1"/>
  <c r="R24" i="1"/>
  <c r="L24" i="1"/>
  <c r="K24" i="1"/>
  <c r="I24" i="1"/>
  <c r="AF24" i="1" s="1"/>
  <c r="AM23" i="1"/>
  <c r="AL23" i="1"/>
  <c r="AK23" i="1"/>
  <c r="AI23" i="1"/>
  <c r="AG23" i="1"/>
  <c r="AH23" i="1" s="1"/>
  <c r="AF23" i="1"/>
  <c r="AD23" i="1"/>
  <c r="AB23" i="1"/>
  <c r="AE23" i="1" s="1"/>
  <c r="U23" i="1"/>
  <c r="T23" i="1"/>
  <c r="R23" i="1"/>
  <c r="L23" i="1"/>
  <c r="K23" i="1"/>
  <c r="I23" i="1"/>
  <c r="H23" i="1"/>
  <c r="AM22" i="1"/>
  <c r="AL22" i="1"/>
  <c r="AK22" i="1"/>
  <c r="AJ22" i="1"/>
  <c r="AI22" i="1"/>
  <c r="AH22" i="1"/>
  <c r="AG22" i="1"/>
  <c r="AF22" i="1"/>
  <c r="AE22" i="1"/>
  <c r="AD22" i="1"/>
  <c r="AB22" i="1"/>
  <c r="AC22" i="1" s="1"/>
  <c r="U22" i="1"/>
  <c r="T22" i="1"/>
  <c r="R22" i="1"/>
  <c r="K22" i="1"/>
  <c r="L22" i="1" s="1"/>
  <c r="I22" i="1"/>
  <c r="H22" i="1" s="1"/>
  <c r="AM21" i="1"/>
  <c r="AL21" i="1"/>
  <c r="AK21" i="1"/>
  <c r="AI21" i="1"/>
  <c r="AH21" i="1"/>
  <c r="AG21" i="1"/>
  <c r="AD21" i="1"/>
  <c r="AC21" i="1"/>
  <c r="AB21" i="1"/>
  <c r="T21" i="1"/>
  <c r="U21" i="1" s="1"/>
  <c r="R21" i="1"/>
  <c r="K21" i="1"/>
  <c r="L21" i="1" s="1"/>
  <c r="I21" i="1"/>
  <c r="AF21" i="1" s="1"/>
  <c r="H21" i="1"/>
  <c r="AM20" i="1"/>
  <c r="AL20" i="1"/>
  <c r="AK20" i="1"/>
  <c r="AI20" i="1"/>
  <c r="AG20" i="1"/>
  <c r="AH20" i="1" s="1"/>
  <c r="AD20" i="1"/>
  <c r="AB20" i="1"/>
  <c r="AC20" i="1" s="1"/>
  <c r="T20" i="1"/>
  <c r="R20" i="1"/>
  <c r="L20" i="1"/>
  <c r="K20" i="1"/>
  <c r="I20" i="1"/>
  <c r="H20" i="1" s="1"/>
  <c r="AM19" i="1"/>
  <c r="AL19" i="1"/>
  <c r="AK19" i="1"/>
  <c r="AI19" i="1"/>
  <c r="AG19" i="1"/>
  <c r="AH19" i="1" s="1"/>
  <c r="AF19" i="1"/>
  <c r="AD19" i="1"/>
  <c r="AB19" i="1"/>
  <c r="AE19" i="1" s="1"/>
  <c r="U19" i="1"/>
  <c r="T19" i="1"/>
  <c r="R19" i="1"/>
  <c r="L19" i="1"/>
  <c r="K19" i="1"/>
  <c r="I19" i="1"/>
  <c r="H19" i="1"/>
  <c r="AM18" i="1"/>
  <c r="AL18" i="1"/>
  <c r="AK18" i="1"/>
  <c r="AI18" i="1"/>
  <c r="AH18" i="1"/>
  <c r="AG18" i="1"/>
  <c r="AD18" i="1"/>
  <c r="AB18" i="1"/>
  <c r="AC18" i="1" s="1"/>
  <c r="T18" i="1"/>
  <c r="U18" i="1" s="1"/>
  <c r="R18" i="1"/>
  <c r="K18" i="1"/>
  <c r="L18" i="1" s="1"/>
  <c r="I18" i="1"/>
  <c r="H18" i="1" s="1"/>
  <c r="AM17" i="1"/>
  <c r="AL17" i="1"/>
  <c r="AK17" i="1"/>
  <c r="AI17" i="1"/>
  <c r="AH17" i="1"/>
  <c r="AG17" i="1"/>
  <c r="AD17" i="1"/>
  <c r="AC17" i="1"/>
  <c r="AB17" i="1"/>
  <c r="T17" i="1"/>
  <c r="U17" i="1" s="1"/>
  <c r="R17" i="1"/>
  <c r="K17" i="1"/>
  <c r="L17" i="1" s="1"/>
  <c r="I17" i="1"/>
  <c r="AF17" i="1" s="1"/>
  <c r="H17" i="1"/>
  <c r="AM16" i="1"/>
  <c r="AL16" i="1"/>
  <c r="AK16" i="1"/>
  <c r="AJ16" i="1"/>
  <c r="AI16" i="1"/>
  <c r="AG16" i="1"/>
  <c r="AH16" i="1" s="1"/>
  <c r="AF16" i="1"/>
  <c r="AD16" i="1"/>
  <c r="AB16" i="1"/>
  <c r="AE16" i="1" s="1"/>
  <c r="U16" i="1"/>
  <c r="T16" i="1"/>
  <c r="R16" i="1"/>
  <c r="L16" i="1"/>
  <c r="K16" i="1"/>
  <c r="I16" i="1"/>
  <c r="H16" i="1"/>
  <c r="AM15" i="1"/>
  <c r="AL15" i="1"/>
  <c r="AK15" i="1"/>
  <c r="AJ15" i="1"/>
  <c r="AI15" i="1"/>
  <c r="AH15" i="1"/>
  <c r="AG15" i="1"/>
  <c r="AF15" i="1"/>
  <c r="AE15" i="1"/>
  <c r="AD15" i="1"/>
  <c r="AB15" i="1"/>
  <c r="AC15" i="1" s="1"/>
  <c r="U15" i="1"/>
  <c r="T15" i="1"/>
  <c r="R15" i="1"/>
  <c r="K15" i="1"/>
  <c r="L15" i="1" s="1"/>
  <c r="I15" i="1"/>
  <c r="H15" i="1" s="1"/>
  <c r="AM14" i="1"/>
  <c r="AL14" i="1"/>
  <c r="AK14" i="1"/>
  <c r="AI14" i="1"/>
  <c r="AH14" i="1"/>
  <c r="AG14" i="1"/>
  <c r="AJ14" i="1" s="1"/>
  <c r="AD14" i="1"/>
  <c r="AC14" i="1"/>
  <c r="AB14" i="1"/>
  <c r="T14" i="1"/>
  <c r="U14" i="1" s="1"/>
  <c r="R14" i="1"/>
  <c r="K14" i="1"/>
  <c r="L14" i="1" s="1"/>
  <c r="I14" i="1"/>
  <c r="H14" i="1" s="1"/>
  <c r="AM13" i="1"/>
  <c r="AL13" i="1"/>
  <c r="AK13" i="1"/>
  <c r="AI13" i="1"/>
  <c r="AG13" i="1"/>
  <c r="AJ13" i="1" s="1"/>
  <c r="AD13" i="1"/>
  <c r="AC13" i="1"/>
  <c r="AB13" i="1"/>
  <c r="AE13" i="1" s="1"/>
  <c r="T13" i="1"/>
  <c r="U13" i="1" s="1"/>
  <c r="R13" i="1"/>
  <c r="L13" i="1"/>
  <c r="K13" i="1"/>
  <c r="I13" i="1"/>
  <c r="AF13" i="1" s="1"/>
  <c r="H13" i="1"/>
  <c r="AM12" i="1"/>
  <c r="AL12" i="1"/>
  <c r="AK12" i="1"/>
  <c r="AJ12" i="1"/>
  <c r="AI12" i="1"/>
  <c r="AG12" i="1"/>
  <c r="AH12" i="1" s="1"/>
  <c r="AF12" i="1"/>
  <c r="AD12" i="1"/>
  <c r="AB12" i="1"/>
  <c r="AE12" i="1" s="1"/>
  <c r="U12" i="1"/>
  <c r="T12" i="1"/>
  <c r="R12" i="1"/>
  <c r="L12" i="1"/>
  <c r="K12" i="1"/>
  <c r="I12" i="1"/>
  <c r="H12" i="1"/>
  <c r="AM11" i="1"/>
  <c r="AL11" i="1"/>
  <c r="AK11" i="1"/>
  <c r="AJ11" i="1"/>
  <c r="AI11" i="1"/>
  <c r="AH11" i="1"/>
  <c r="AG11" i="1"/>
  <c r="AF11" i="1"/>
  <c r="AE11" i="1"/>
  <c r="AD11" i="1"/>
  <c r="AB11" i="1"/>
  <c r="AC11" i="1" s="1"/>
  <c r="U11" i="1"/>
  <c r="T11" i="1"/>
  <c r="R11" i="1"/>
  <c r="K11" i="1"/>
  <c r="L11" i="1" s="1"/>
  <c r="I11" i="1"/>
  <c r="H11" i="1" s="1"/>
  <c r="AM10" i="1"/>
  <c r="AL10" i="1"/>
  <c r="AK10" i="1"/>
  <c r="AI10" i="1"/>
  <c r="AH10" i="1"/>
  <c r="AG10" i="1"/>
  <c r="AJ10" i="1" s="1"/>
  <c r="AD10" i="1"/>
  <c r="AC10" i="1"/>
  <c r="AB10" i="1"/>
  <c r="T10" i="1"/>
  <c r="U10" i="1" s="1"/>
  <c r="R10" i="1"/>
  <c r="K10" i="1"/>
  <c r="L10" i="1" s="1"/>
  <c r="I10" i="1"/>
  <c r="H10" i="1" s="1"/>
  <c r="AM9" i="1"/>
  <c r="AL9" i="1"/>
  <c r="AK9" i="1"/>
  <c r="AI9" i="1"/>
  <c r="AG9" i="1"/>
  <c r="AJ9" i="1" s="1"/>
  <c r="AD9" i="1"/>
  <c r="AC9" i="1"/>
  <c r="AB9" i="1"/>
  <c r="AE9" i="1" s="1"/>
  <c r="T9" i="1"/>
  <c r="U9" i="1" s="1"/>
  <c r="R9" i="1"/>
  <c r="L9" i="1"/>
  <c r="K9" i="1"/>
  <c r="I9" i="1"/>
  <c r="AF9" i="1" s="1"/>
  <c r="H9" i="1"/>
  <c r="AM8" i="1"/>
  <c r="AL8" i="1"/>
  <c r="AK8" i="1"/>
  <c r="AJ8" i="1"/>
  <c r="AI8" i="1"/>
  <c r="AG8" i="1"/>
  <c r="AH8" i="1" s="1"/>
  <c r="AF8" i="1"/>
  <c r="AD8" i="1"/>
  <c r="AB8" i="1"/>
  <c r="AE8" i="1" s="1"/>
  <c r="U8" i="1"/>
  <c r="T8" i="1"/>
  <c r="R8" i="1"/>
  <c r="L8" i="1"/>
  <c r="K8" i="1"/>
  <c r="I8" i="1"/>
  <c r="H8" i="1"/>
  <c r="AM7" i="1"/>
  <c r="AL7" i="1"/>
  <c r="AK7" i="1"/>
  <c r="AJ7" i="1"/>
  <c r="AI7" i="1"/>
  <c r="AH7" i="1"/>
  <c r="AG7" i="1"/>
  <c r="AF7" i="1"/>
  <c r="AE7" i="1"/>
  <c r="AD7" i="1"/>
  <c r="AB7" i="1"/>
  <c r="AC7" i="1" s="1"/>
  <c r="U7" i="1"/>
  <c r="T7" i="1"/>
  <c r="R7" i="1"/>
  <c r="K7" i="1"/>
  <c r="L7" i="1" s="1"/>
  <c r="I7" i="1"/>
  <c r="H7" i="1" s="1"/>
  <c r="AM6" i="1"/>
  <c r="AL6" i="1"/>
  <c r="AK6" i="1"/>
  <c r="AI6" i="1"/>
  <c r="AH6" i="1"/>
  <c r="AG6" i="1"/>
  <c r="AJ6" i="1" s="1"/>
  <c r="AD6" i="1"/>
  <c r="AC6" i="1"/>
  <c r="AB6" i="1"/>
  <c r="T6" i="1"/>
  <c r="U6" i="1" s="1"/>
  <c r="R6" i="1"/>
  <c r="K6" i="1"/>
  <c r="L6" i="1" s="1"/>
  <c r="I6" i="1"/>
  <c r="H6" i="1" s="1"/>
  <c r="B53" i="3" l="1"/>
  <c r="D56" i="3" s="1"/>
  <c r="B64" i="4"/>
  <c r="B60" i="4"/>
  <c r="C26" i="4"/>
  <c r="F26" i="4" s="1"/>
  <c r="B42" i="4"/>
  <c r="B53" i="4"/>
  <c r="B34" i="4"/>
  <c r="B36" i="4" s="1"/>
  <c r="C23" i="4"/>
  <c r="E23" i="4" s="1"/>
  <c r="B43" i="4"/>
  <c r="B37" i="4"/>
  <c r="E26" i="4"/>
  <c r="F18" i="4"/>
  <c r="B44" i="3"/>
  <c r="B46" i="3" s="1"/>
  <c r="D48" i="3" s="1"/>
  <c r="C26" i="3"/>
  <c r="F26" i="3" s="1"/>
  <c r="F17" i="3"/>
  <c r="C23" i="3"/>
  <c r="F18" i="3"/>
  <c r="F17" i="2"/>
  <c r="B63" i="2" s="1"/>
  <c r="B64" i="2" s="1"/>
  <c r="C26" i="2"/>
  <c r="C23" i="2"/>
  <c r="B37" i="2"/>
  <c r="B36" i="2"/>
  <c r="B60" i="2" s="1"/>
  <c r="E23" i="2"/>
  <c r="F23" i="2"/>
  <c r="AE18" i="1"/>
  <c r="U20" i="1"/>
  <c r="AJ20" i="1"/>
  <c r="AC8" i="1"/>
  <c r="AE10" i="1"/>
  <c r="AC12" i="1"/>
  <c r="AH13" i="1"/>
  <c r="AC16" i="1"/>
  <c r="AE17" i="1"/>
  <c r="AF18" i="1"/>
  <c r="H25" i="1"/>
  <c r="AF25" i="1"/>
  <c r="AE25" i="1"/>
  <c r="AC27" i="1"/>
  <c r="AC31" i="1"/>
  <c r="H37" i="1"/>
  <c r="AF37" i="1"/>
  <c r="AE37" i="1"/>
  <c r="AC39" i="1"/>
  <c r="H45" i="1"/>
  <c r="AF45" i="1"/>
  <c r="AE45" i="1"/>
  <c r="H49" i="1"/>
  <c r="AF49" i="1"/>
  <c r="H53" i="1"/>
  <c r="AF53" i="1"/>
  <c r="AE53" i="1"/>
  <c r="H57" i="1"/>
  <c r="AF57" i="1"/>
  <c r="AE57" i="1"/>
  <c r="AF6" i="1"/>
  <c r="AF10" i="1"/>
  <c r="AF14" i="1"/>
  <c r="AJ17" i="1"/>
  <c r="AJ21" i="1"/>
  <c r="AJ23" i="1"/>
  <c r="H24" i="1"/>
  <c r="AJ25" i="1"/>
  <c r="AJ27" i="1"/>
  <c r="H28" i="1"/>
  <c r="AJ29" i="1"/>
  <c r="AJ31" i="1"/>
  <c r="H32" i="1"/>
  <c r="AJ33" i="1"/>
  <c r="AJ35" i="1"/>
  <c r="H36" i="1"/>
  <c r="AJ37" i="1"/>
  <c r="AJ39" i="1"/>
  <c r="H40" i="1"/>
  <c r="AJ41" i="1"/>
  <c r="AJ43" i="1"/>
  <c r="H44" i="1"/>
  <c r="AJ45" i="1"/>
  <c r="AJ47" i="1"/>
  <c r="H48" i="1"/>
  <c r="AJ49" i="1"/>
  <c r="AJ51" i="1"/>
  <c r="H52" i="1"/>
  <c r="AJ53" i="1"/>
  <c r="AJ55" i="1"/>
  <c r="H56" i="1"/>
  <c r="AJ57" i="1"/>
  <c r="AF20" i="1"/>
  <c r="AE6" i="1"/>
  <c r="AH9" i="1"/>
  <c r="AE14" i="1"/>
  <c r="AJ18" i="1"/>
  <c r="AC19" i="1"/>
  <c r="AE20" i="1"/>
  <c r="AE21" i="1"/>
  <c r="AC23" i="1"/>
  <c r="H29" i="1"/>
  <c r="AF29" i="1"/>
  <c r="H33" i="1"/>
  <c r="AF33" i="1"/>
  <c r="AC35" i="1"/>
  <c r="H41" i="1"/>
  <c r="AF41" i="1"/>
  <c r="AE41" i="1"/>
  <c r="AC43" i="1"/>
  <c r="AC47" i="1"/>
  <c r="AE49" i="1"/>
  <c r="AC51" i="1"/>
  <c r="AC55" i="1"/>
  <c r="AJ19" i="1"/>
  <c r="U24" i="1"/>
  <c r="AJ24" i="1"/>
  <c r="U28" i="1"/>
  <c r="AJ28" i="1"/>
  <c r="U32" i="1"/>
  <c r="AJ32" i="1"/>
  <c r="U36" i="1"/>
  <c r="AJ36" i="1"/>
  <c r="U40" i="1"/>
  <c r="AJ40" i="1"/>
  <c r="U44" i="1"/>
  <c r="AJ44" i="1"/>
  <c r="U48" i="1"/>
  <c r="AJ48" i="1"/>
  <c r="U52" i="1"/>
  <c r="AJ52" i="1"/>
  <c r="U56" i="1"/>
  <c r="AJ56" i="1"/>
  <c r="F23" i="4" l="1"/>
  <c r="F28" i="4" s="1"/>
  <c r="F56" i="4"/>
  <c r="E45" i="4"/>
  <c r="B45" i="4"/>
  <c r="E26" i="3"/>
  <c r="F23" i="3"/>
  <c r="F28" i="3" s="1"/>
  <c r="E23" i="3"/>
  <c r="F26" i="2"/>
  <c r="F28" i="2" s="1"/>
  <c r="E26" i="2"/>
  <c r="C66" i="2"/>
  <c r="B61" i="2"/>
  <c r="C43" i="2"/>
  <c r="C51" i="2"/>
  <c r="A68" i="2" l="1"/>
  <c r="B69" i="2"/>
</calcChain>
</file>

<file path=xl/sharedStrings.xml><?xml version="1.0" encoding="utf-8"?>
<sst xmlns="http://schemas.openxmlformats.org/spreadsheetml/2006/main" count="1153" uniqueCount="228">
  <si>
    <t>IPE</t>
  </si>
  <si>
    <t>dimensioni principali</t>
  </si>
  <si>
    <t>peso</t>
  </si>
  <si>
    <t>area</t>
  </si>
  <si>
    <t>Altre dimensioni/dettagli costruzione/caratteristiche</t>
  </si>
  <si>
    <t>superfici</t>
  </si>
  <si>
    <t>classe EC3</t>
  </si>
  <si>
    <t>caratteristiche statiche</t>
  </si>
  <si>
    <t>flessione</t>
  </si>
  <si>
    <t>compressione</t>
  </si>
  <si>
    <t>asse forte y-y</t>
  </si>
  <si>
    <t>asse debole</t>
  </si>
  <si>
    <t>h</t>
  </si>
  <si>
    <t>b</t>
  </si>
  <si>
    <r>
      <t>t</t>
    </r>
    <r>
      <rPr>
        <b/>
        <vertAlign val="subscript"/>
        <sz val="9"/>
        <rFont val="Arial"/>
        <family val="2"/>
      </rPr>
      <t>w</t>
    </r>
  </si>
  <si>
    <r>
      <t>t</t>
    </r>
    <r>
      <rPr>
        <b/>
        <vertAlign val="subscript"/>
        <sz val="9"/>
        <rFont val="Arial"/>
        <family val="2"/>
      </rPr>
      <t>f</t>
    </r>
  </si>
  <si>
    <t>r</t>
  </si>
  <si>
    <t>-</t>
  </si>
  <si>
    <t>G</t>
  </si>
  <si>
    <t>A</t>
  </si>
  <si>
    <t>Anet</t>
  </si>
  <si>
    <r>
      <t>h</t>
    </r>
    <r>
      <rPr>
        <b/>
        <vertAlign val="subscript"/>
        <sz val="9"/>
        <rFont val="Arial"/>
        <family val="2"/>
      </rPr>
      <t>i</t>
    </r>
  </si>
  <si>
    <t>d</t>
  </si>
  <si>
    <t>Ø</t>
  </si>
  <si>
    <r>
      <t>P</t>
    </r>
    <r>
      <rPr>
        <b/>
        <vertAlign val="subscript"/>
        <sz val="9"/>
        <rFont val="Arial"/>
        <family val="2"/>
      </rPr>
      <t>min</t>
    </r>
  </si>
  <si>
    <r>
      <t>P</t>
    </r>
    <r>
      <rPr>
        <b/>
        <vertAlign val="subscript"/>
        <sz val="9"/>
        <rFont val="Arial"/>
        <family val="2"/>
      </rPr>
      <t>max</t>
    </r>
  </si>
  <si>
    <t>u</t>
  </si>
  <si>
    <t>a</t>
  </si>
  <si>
    <r>
      <t>A</t>
    </r>
    <r>
      <rPr>
        <b/>
        <vertAlign val="subscript"/>
        <sz val="9"/>
        <rFont val="Arial"/>
        <family val="2"/>
      </rPr>
      <t>L</t>
    </r>
  </si>
  <si>
    <r>
      <t>A</t>
    </r>
    <r>
      <rPr>
        <b/>
        <vertAlign val="subscript"/>
        <sz val="9"/>
        <rFont val="Arial"/>
        <family val="2"/>
      </rPr>
      <t xml:space="preserve">G </t>
    </r>
  </si>
  <si>
    <t>S 235</t>
  </si>
  <si>
    <t>S 355</t>
  </si>
  <si>
    <t>S 460</t>
  </si>
  <si>
    <r>
      <t>I</t>
    </r>
    <r>
      <rPr>
        <b/>
        <vertAlign val="subscript"/>
        <sz val="9"/>
        <rFont val="Arial"/>
        <family val="2"/>
      </rPr>
      <t>y</t>
    </r>
  </si>
  <si>
    <r>
      <t>W</t>
    </r>
    <r>
      <rPr>
        <b/>
        <vertAlign val="subscript"/>
        <sz val="9"/>
        <rFont val="Arial"/>
        <family val="2"/>
      </rPr>
      <t>y</t>
    </r>
  </si>
  <si>
    <r>
      <t>W</t>
    </r>
    <r>
      <rPr>
        <b/>
        <vertAlign val="subscript"/>
        <sz val="9"/>
        <rFont val="Arial"/>
        <family val="2"/>
      </rPr>
      <t>pl, y</t>
    </r>
  </si>
  <si>
    <r>
      <t>i</t>
    </r>
    <r>
      <rPr>
        <b/>
        <vertAlign val="subscript"/>
        <sz val="9"/>
        <rFont val="Arial"/>
        <family val="2"/>
      </rPr>
      <t>y</t>
    </r>
  </si>
  <si>
    <r>
      <t>A</t>
    </r>
    <r>
      <rPr>
        <b/>
        <vertAlign val="subscript"/>
        <sz val="9"/>
        <rFont val="Arial"/>
        <family val="2"/>
      </rPr>
      <t>vz</t>
    </r>
  </si>
  <si>
    <r>
      <t>I</t>
    </r>
    <r>
      <rPr>
        <b/>
        <vertAlign val="subscript"/>
        <sz val="9"/>
        <rFont val="Arial"/>
        <family val="2"/>
      </rPr>
      <t>z</t>
    </r>
  </si>
  <si>
    <r>
      <t>W</t>
    </r>
    <r>
      <rPr>
        <b/>
        <vertAlign val="subscript"/>
        <sz val="9"/>
        <rFont val="Arial"/>
        <family val="2"/>
      </rPr>
      <t>z</t>
    </r>
  </si>
  <si>
    <r>
      <t>W</t>
    </r>
    <r>
      <rPr>
        <b/>
        <vertAlign val="subscript"/>
        <sz val="9"/>
        <rFont val="Arial"/>
        <family val="2"/>
      </rPr>
      <t>pl, z</t>
    </r>
  </si>
  <si>
    <r>
      <t>i</t>
    </r>
    <r>
      <rPr>
        <b/>
        <vertAlign val="subscript"/>
        <sz val="9"/>
        <rFont val="Arial"/>
        <family val="2"/>
      </rPr>
      <t>z</t>
    </r>
  </si>
  <si>
    <r>
      <t>S</t>
    </r>
    <r>
      <rPr>
        <b/>
        <vertAlign val="subscript"/>
        <sz val="9"/>
        <rFont val="Arial"/>
        <family val="2"/>
      </rPr>
      <t>s</t>
    </r>
  </si>
  <si>
    <r>
      <t>I</t>
    </r>
    <r>
      <rPr>
        <b/>
        <vertAlign val="subscript"/>
        <sz val="9"/>
        <rFont val="Arial"/>
        <family val="2"/>
      </rPr>
      <t>T</t>
    </r>
  </si>
  <si>
    <r>
      <t>I</t>
    </r>
    <r>
      <rPr>
        <b/>
        <vertAlign val="subscript"/>
        <sz val="9"/>
        <rFont val="Arial"/>
        <family val="2"/>
      </rPr>
      <t>w</t>
    </r>
    <r>
      <rPr>
        <sz val="9"/>
        <rFont val="Arial"/>
        <family val="2"/>
      </rPr>
      <t>x10</t>
    </r>
    <r>
      <rPr>
        <vertAlign val="superscript"/>
        <sz val="9"/>
        <rFont val="Arial"/>
        <family val="2"/>
      </rPr>
      <t>-3</t>
    </r>
  </si>
  <si>
    <t>Designazione</t>
  </si>
  <si>
    <t>mm</t>
  </si>
  <si>
    <t>kg/m</t>
  </si>
  <si>
    <r>
      <t>cm</t>
    </r>
    <r>
      <rPr>
        <b/>
        <vertAlign val="superscript"/>
        <sz val="8"/>
        <rFont val="Arial"/>
        <family val="2"/>
      </rPr>
      <t>2</t>
    </r>
  </si>
  <si>
    <t>DEG</t>
  </si>
  <si>
    <r>
      <t>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/</t>
    </r>
    <r>
      <rPr>
        <sz val="8"/>
        <rFont val="Arial"/>
        <family val="2"/>
      </rPr>
      <t>m</t>
    </r>
  </si>
  <si>
    <r>
      <t>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/</t>
    </r>
    <r>
      <rPr>
        <sz val="8"/>
        <rFont val="Arial"/>
        <family val="2"/>
      </rPr>
      <t>t</t>
    </r>
  </si>
  <si>
    <r>
      <t>cm</t>
    </r>
    <r>
      <rPr>
        <b/>
        <vertAlign val="superscript"/>
        <sz val="8"/>
        <rFont val="Arial"/>
        <family val="2"/>
      </rPr>
      <t>4</t>
    </r>
  </si>
  <si>
    <r>
      <t>cm</t>
    </r>
    <r>
      <rPr>
        <b/>
        <vertAlign val="superscript"/>
        <sz val="8"/>
        <rFont val="Arial"/>
        <family val="2"/>
      </rPr>
      <t>3</t>
    </r>
  </si>
  <si>
    <t>cm</t>
  </si>
  <si>
    <r>
      <t>cm</t>
    </r>
    <r>
      <rPr>
        <b/>
        <vertAlign val="superscript"/>
        <sz val="8"/>
        <rFont val="Arial"/>
        <family val="2"/>
      </rPr>
      <t>6</t>
    </r>
  </si>
  <si>
    <t>IPE A 80</t>
  </si>
  <si>
    <t>IPE 80</t>
  </si>
  <si>
    <t>IPE A 100</t>
  </si>
  <si>
    <t>IPE 100</t>
  </si>
  <si>
    <t>IPE A 120</t>
  </si>
  <si>
    <t>IPE 120</t>
  </si>
  <si>
    <t>IPE A 140</t>
  </si>
  <si>
    <t>IPE 140</t>
  </si>
  <si>
    <t>IPE A 160</t>
  </si>
  <si>
    <t>IPE 160</t>
  </si>
  <si>
    <t>IPE A 180</t>
  </si>
  <si>
    <t>M10</t>
  </si>
  <si>
    <t>IPE 180</t>
  </si>
  <si>
    <t>IPE O 180</t>
  </si>
  <si>
    <t>IPE A 200</t>
  </si>
  <si>
    <t>IPE 200</t>
  </si>
  <si>
    <t>IPE O 200</t>
  </si>
  <si>
    <t>IPE A 220</t>
  </si>
  <si>
    <t>M12</t>
  </si>
  <si>
    <t>IPE 220</t>
  </si>
  <si>
    <t>IPE O 220</t>
  </si>
  <si>
    <t>IPE A 240</t>
  </si>
  <si>
    <t>M16/M12</t>
  </si>
  <si>
    <t>66/81</t>
  </si>
  <si>
    <t>IPE 240</t>
  </si>
  <si>
    <t>IPE O 240</t>
  </si>
  <si>
    <t>68/83</t>
  </si>
  <si>
    <t>IPE A 270</t>
  </si>
  <si>
    <t>M16</t>
  </si>
  <si>
    <t>66/67</t>
  </si>
  <si>
    <t>IPE 270</t>
  </si>
  <si>
    <t>67/68</t>
  </si>
  <si>
    <t>IPE O 270</t>
  </si>
  <si>
    <t>68/69</t>
  </si>
  <si>
    <t>IPE A 300</t>
  </si>
  <si>
    <t>M20</t>
  </si>
  <si>
    <t>IPE 300</t>
  </si>
  <si>
    <t>IPE O 300</t>
  </si>
  <si>
    <t>IPE A 330</t>
  </si>
  <si>
    <t>M22</t>
  </si>
  <si>
    <t>IPE 330</t>
  </si>
  <si>
    <t>IPE O 330</t>
  </si>
  <si>
    <t>IPE A 360</t>
  </si>
  <si>
    <t>M24</t>
  </si>
  <si>
    <t>87/90</t>
  </si>
  <si>
    <t>IPE 360</t>
  </si>
  <si>
    <t>88/91</t>
  </si>
  <si>
    <t>IPE O 360</t>
  </si>
  <si>
    <t>89/93</t>
  </si>
  <si>
    <t>IPE A 400</t>
  </si>
  <si>
    <t>93/96</t>
  </si>
  <si>
    <t>IPE 400</t>
  </si>
  <si>
    <t>95/98</t>
  </si>
  <si>
    <t>IPE O 400</t>
  </si>
  <si>
    <t>96/99</t>
  </si>
  <si>
    <t>IPE A 450</t>
  </si>
  <si>
    <t>M27/M24</t>
  </si>
  <si>
    <t>100/97</t>
  </si>
  <si>
    <t>100/112</t>
  </si>
  <si>
    <t>IPE 450</t>
  </si>
  <si>
    <t>95/99</t>
  </si>
  <si>
    <t>IPE O 450</t>
  </si>
  <si>
    <t>97/100</t>
  </si>
  <si>
    <t>IPE A 500</t>
  </si>
  <si>
    <t>M27</t>
  </si>
  <si>
    <t>100/104</t>
  </si>
  <si>
    <t>IPE 500</t>
  </si>
  <si>
    <t>102/105</t>
  </si>
  <si>
    <t>IPE O 500</t>
  </si>
  <si>
    <t>104/107</t>
  </si>
  <si>
    <t>IPE A 550</t>
  </si>
  <si>
    <t>107/110</t>
  </si>
  <si>
    <t>IPE 550</t>
  </si>
  <si>
    <t>109/112</t>
  </si>
  <si>
    <t>IPE O 550</t>
  </si>
  <si>
    <t>111/114</t>
  </si>
  <si>
    <t>IPE A 600</t>
  </si>
  <si>
    <t>108/111</t>
  </si>
  <si>
    <t>IPE 600</t>
  </si>
  <si>
    <t>110/113</t>
  </si>
  <si>
    <t>IPE O 600</t>
  </si>
  <si>
    <t>113/116</t>
  </si>
  <si>
    <t>IPE 750 x 137</t>
  </si>
  <si>
    <t>IPE 750 x 147</t>
  </si>
  <si>
    <t>IPE 750 x 173</t>
  </si>
  <si>
    <t>IPE 750 x 196</t>
  </si>
  <si>
    <t>kN/m</t>
  </si>
  <si>
    <t>Dati relativi alla trave</t>
  </si>
  <si>
    <t>Dati relativi alla sezione trasversale</t>
  </si>
  <si>
    <t>h=</t>
  </si>
  <si>
    <t>b=</t>
  </si>
  <si>
    <t>r=</t>
  </si>
  <si>
    <t>A=</t>
  </si>
  <si>
    <t>[mm]</t>
  </si>
  <si>
    <r>
      <t>g</t>
    </r>
    <r>
      <rPr>
        <vertAlign val="subscript"/>
        <sz val="10"/>
        <color theme="1"/>
        <rFont val="Lucida Calligraphy"/>
        <family val="4"/>
      </rPr>
      <t>2</t>
    </r>
    <r>
      <rPr>
        <sz val="10"/>
        <color theme="1"/>
        <rFont val="Lucida Calligraphy"/>
        <family val="4"/>
      </rPr>
      <t>=</t>
    </r>
  </si>
  <si>
    <r>
      <t>q</t>
    </r>
    <r>
      <rPr>
        <vertAlign val="subscript"/>
        <sz val="10"/>
        <color theme="1"/>
        <rFont val="Lucida Calligraphy"/>
        <family val="4"/>
      </rPr>
      <t>k</t>
    </r>
    <r>
      <rPr>
        <sz val="10"/>
        <color theme="1"/>
        <rFont val="Lucida Calligraphy"/>
        <family val="4"/>
      </rPr>
      <t>=</t>
    </r>
  </si>
  <si>
    <r>
      <t>t</t>
    </r>
    <r>
      <rPr>
        <i/>
        <vertAlign val="subscript"/>
        <sz val="10"/>
        <color theme="1"/>
        <rFont val="Lucida Calligraphy"/>
        <family val="4"/>
      </rPr>
      <t>w</t>
    </r>
    <r>
      <rPr>
        <sz val="10"/>
        <color theme="1"/>
        <rFont val="Lucida Calligraphy"/>
        <family val="4"/>
      </rPr>
      <t>=</t>
    </r>
  </si>
  <si>
    <r>
      <t>t</t>
    </r>
    <r>
      <rPr>
        <i/>
        <vertAlign val="subscript"/>
        <sz val="10"/>
        <color theme="1"/>
        <rFont val="Lucida Calligraphy"/>
        <family val="4"/>
      </rPr>
      <t>f</t>
    </r>
    <r>
      <rPr>
        <sz val="10"/>
        <color theme="1"/>
        <rFont val="Lucida Calligraphy"/>
        <family val="4"/>
      </rPr>
      <t>=</t>
    </r>
  </si>
  <si>
    <r>
      <t>I</t>
    </r>
    <r>
      <rPr>
        <b/>
        <vertAlign val="subscript"/>
        <sz val="10"/>
        <rFont val="Lucida Calligraphy"/>
        <family val="4"/>
      </rPr>
      <t>y</t>
    </r>
  </si>
  <si>
    <t>y</t>
  </si>
  <si>
    <t>z</t>
  </si>
  <si>
    <r>
      <t>[mm</t>
    </r>
    <r>
      <rPr>
        <i/>
        <vertAlign val="superscript"/>
        <sz val="10"/>
        <color theme="1"/>
        <rFont val="Lucida Calligraphy"/>
        <family val="4"/>
      </rPr>
      <t>4</t>
    </r>
    <r>
      <rPr>
        <sz val="10"/>
        <color theme="1"/>
        <rFont val="Lucida Calligraphy"/>
        <family val="4"/>
      </rPr>
      <t>]</t>
    </r>
  </si>
  <si>
    <r>
      <t>[mm</t>
    </r>
    <r>
      <rPr>
        <i/>
        <vertAlign val="superscript"/>
        <sz val="10"/>
        <color theme="1"/>
        <rFont val="Lucida Calligraphy"/>
        <family val="4"/>
      </rPr>
      <t>3</t>
    </r>
    <r>
      <rPr>
        <sz val="10"/>
        <color theme="1"/>
        <rFont val="Lucida Calligraphy"/>
        <family val="4"/>
      </rPr>
      <t>]</t>
    </r>
  </si>
  <si>
    <r>
      <t>[mm</t>
    </r>
    <r>
      <rPr>
        <i/>
        <vertAlign val="superscript"/>
        <sz val="10"/>
        <color theme="1"/>
        <rFont val="Lucida Calligraphy"/>
        <family val="4"/>
      </rPr>
      <t>2</t>
    </r>
    <r>
      <rPr>
        <sz val="10"/>
        <color theme="1"/>
        <rFont val="Lucida Calligraphy"/>
        <family val="4"/>
      </rPr>
      <t>]</t>
    </r>
  </si>
  <si>
    <r>
      <t>mm</t>
    </r>
    <r>
      <rPr>
        <i/>
        <vertAlign val="superscript"/>
        <sz val="10"/>
        <color theme="1"/>
        <rFont val="Lucida Calligraphy"/>
        <family val="4"/>
      </rPr>
      <t>2</t>
    </r>
  </si>
  <si>
    <r>
      <t>A</t>
    </r>
    <r>
      <rPr>
        <b/>
        <vertAlign val="subscript"/>
        <sz val="10"/>
        <rFont val="Lucida Calligraphy"/>
        <family val="4"/>
      </rPr>
      <t>v</t>
    </r>
  </si>
  <si>
    <t>i</t>
  </si>
  <si>
    <r>
      <t>W</t>
    </r>
    <r>
      <rPr>
        <b/>
        <vertAlign val="subscript"/>
        <sz val="10"/>
        <rFont val="Lucida Calligraphy"/>
        <family val="4"/>
      </rPr>
      <t>pl</t>
    </r>
  </si>
  <si>
    <r>
      <t>W</t>
    </r>
    <r>
      <rPr>
        <b/>
        <vertAlign val="subscript"/>
        <sz val="10"/>
        <rFont val="Lucida Calligraphy"/>
        <family val="4"/>
      </rPr>
      <t>el</t>
    </r>
  </si>
  <si>
    <t>Classificazione</t>
  </si>
  <si>
    <t>S</t>
  </si>
  <si>
    <t>- anima</t>
  </si>
  <si>
    <t>c/t=</t>
  </si>
  <si>
    <t>- ala</t>
  </si>
  <si>
    <t>&lt;</t>
  </si>
  <si>
    <t xml:space="preserve">Sezione in classe </t>
  </si>
  <si>
    <t>Verifica a flessione</t>
  </si>
  <si>
    <t>kN</t>
  </si>
  <si>
    <r>
      <t>g</t>
    </r>
    <r>
      <rPr>
        <i/>
        <vertAlign val="subscript"/>
        <sz val="10"/>
        <color theme="1"/>
        <rFont val="Lucida Calligraphy"/>
        <family val="4"/>
      </rPr>
      <t>1</t>
    </r>
    <r>
      <rPr>
        <sz val="10"/>
        <color theme="1"/>
        <rFont val="Lucida Calligraphy"/>
        <family val="4"/>
      </rPr>
      <t>=</t>
    </r>
  </si>
  <si>
    <t>L=</t>
  </si>
  <si>
    <t>m</t>
  </si>
  <si>
    <r>
      <t>V</t>
    </r>
    <r>
      <rPr>
        <i/>
        <vertAlign val="subscript"/>
        <sz val="10"/>
        <color theme="1"/>
        <rFont val="Lucida Calligraphy"/>
        <family val="4"/>
      </rPr>
      <t>Ed,y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</si>
  <si>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Ed,y</t>
    </r>
    <r>
      <rPr>
        <sz val="10"/>
        <color theme="1"/>
        <rFont val="Lucida Calligraphy"/>
        <family val="4"/>
      </rPr>
      <t>=</t>
    </r>
  </si>
  <si>
    <t>kNm</t>
  </si>
  <si>
    <r>
      <t>q</t>
    </r>
    <r>
      <rPr>
        <i/>
        <vertAlign val="subscript"/>
        <sz val="10"/>
        <color theme="1"/>
        <rFont val="Lucida Calligraphy"/>
        <family val="4"/>
      </rPr>
      <t>y,d</t>
    </r>
    <r>
      <rPr>
        <sz val="10"/>
        <color theme="1"/>
        <rFont val="Lucida Calligraphy"/>
        <family val="4"/>
      </rPr>
      <t>=</t>
    </r>
  </si>
  <si>
    <r>
      <t>W</t>
    </r>
    <r>
      <rPr>
        <i/>
        <vertAlign val="subscript"/>
        <sz val="10"/>
        <color theme="1"/>
        <rFont val="Lucida Calligraphy"/>
        <family val="4"/>
      </rPr>
      <t>y,pl</t>
    </r>
    <r>
      <rPr>
        <sz val="10"/>
        <color theme="1"/>
        <rFont val="Lucida Calligraphy"/>
        <family val="4"/>
      </rPr>
      <t>=</t>
    </r>
  </si>
  <si>
    <r>
      <t>mm</t>
    </r>
    <r>
      <rPr>
        <i/>
        <vertAlign val="superscript"/>
        <sz val="10"/>
        <color theme="1"/>
        <rFont val="Lucida Calligraphy"/>
        <family val="4"/>
      </rPr>
      <t>3</t>
    </r>
  </si>
  <si>
    <r>
      <rPr>
        <sz val="10"/>
        <color theme="1"/>
        <rFont val="Symbol"/>
        <family val="1"/>
        <charset val="2"/>
      </rPr>
      <t>g</t>
    </r>
    <r>
      <rPr>
        <i/>
        <vertAlign val="subscript"/>
        <sz val="10"/>
        <color theme="1"/>
        <rFont val="Lucida Calligraphy"/>
        <family val="4"/>
      </rPr>
      <t>M0</t>
    </r>
    <r>
      <rPr>
        <sz val="10"/>
        <color theme="1"/>
        <rFont val="Lucida Calligraphy"/>
        <family val="4"/>
      </rPr>
      <t>=</t>
    </r>
  </si>
  <si>
    <t>- verifica plastica</t>
  </si>
  <si>
    <t>- verifica elastica</t>
  </si>
  <si>
    <r>
      <t>W</t>
    </r>
    <r>
      <rPr>
        <i/>
        <vertAlign val="subscript"/>
        <sz val="10"/>
        <color theme="1"/>
        <rFont val="Lucida Calligraphy"/>
        <family val="4"/>
      </rPr>
      <t>y,el</t>
    </r>
    <r>
      <rPr>
        <sz val="10"/>
        <color theme="1"/>
        <rFont val="Lucida Calligraphy"/>
        <family val="4"/>
      </rPr>
      <t>=</t>
    </r>
  </si>
  <si>
    <t>Verifica a taglio</t>
  </si>
  <si>
    <r>
      <t>M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y,pl,Rd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</si>
  <si>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y,el,Rd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</si>
  <si>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y,el,Rd</t>
    </r>
    <r>
      <rPr>
        <sz val="10"/>
        <color theme="1"/>
        <rFont val="Lucida Calligraphy"/>
        <family val="4"/>
      </rPr>
      <t>=</t>
    </r>
  </si>
  <si>
    <r>
      <t>V</t>
    </r>
    <r>
      <rPr>
        <i/>
        <vertAlign val="subscript"/>
        <sz val="10"/>
        <color theme="1"/>
        <rFont val="Lucida Calligraphy"/>
        <family val="4"/>
      </rPr>
      <t>y,c,Rd</t>
    </r>
    <r>
      <rPr>
        <b/>
        <i/>
        <sz val="10"/>
        <color theme="1"/>
        <rFont val="Lucida Calligraphy"/>
        <family val="4"/>
      </rPr>
      <t>=</t>
    </r>
  </si>
  <si>
    <r>
      <t>A</t>
    </r>
    <r>
      <rPr>
        <i/>
        <vertAlign val="subscript"/>
        <sz val="10"/>
        <color theme="1"/>
        <rFont val="Lucida Calligraphy"/>
        <family val="4"/>
      </rPr>
      <t>v,y</t>
    </r>
    <r>
      <rPr>
        <b/>
        <i/>
        <sz val="10"/>
        <color theme="1"/>
        <rFont val="Lucida Calligraphy"/>
        <family val="4"/>
      </rPr>
      <t>=</t>
    </r>
  </si>
  <si>
    <r>
      <t>V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/V</t>
    </r>
    <r>
      <rPr>
        <i/>
        <vertAlign val="subscript"/>
        <sz val="10"/>
        <color theme="1"/>
        <rFont val="Lucida Calligraphy"/>
        <family val="4"/>
      </rPr>
      <t>y,c,Rd</t>
    </r>
    <r>
      <rPr>
        <sz val="10"/>
        <color theme="1"/>
        <rFont val="Lucida Calligraphy"/>
        <family val="4"/>
      </rPr>
      <t>=</t>
    </r>
  </si>
  <si>
    <r>
      <rPr>
        <sz val="10"/>
        <color theme="1"/>
        <rFont val="Symbol"/>
        <family val="1"/>
        <charset val="2"/>
      </rPr>
      <t>r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</si>
  <si>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y,pl,Rd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</si>
  <si>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y,V,Rd</t>
    </r>
    <r>
      <rPr>
        <sz val="10"/>
        <color theme="1"/>
        <rFont val="Lucida Calligraphy"/>
        <family val="4"/>
      </rPr>
      <t>=</t>
    </r>
  </si>
  <si>
    <r>
      <t>N</t>
    </r>
    <r>
      <rPr>
        <i/>
        <vertAlign val="subscript"/>
        <sz val="10"/>
        <color theme="1"/>
        <rFont val="Lucida Calligraphy"/>
        <family val="4"/>
      </rPr>
      <t>k</t>
    </r>
    <r>
      <rPr>
        <sz val="10"/>
        <color theme="1"/>
        <rFont val="Lucida Calligraphy"/>
        <family val="4"/>
      </rPr>
      <t>=</t>
    </r>
  </si>
  <si>
    <t>Verifica a presso-flessione</t>
  </si>
  <si>
    <r>
      <t>N</t>
    </r>
    <r>
      <rPr>
        <i/>
        <vertAlign val="subscript"/>
        <sz val="10"/>
        <color theme="1"/>
        <rFont val="Lucida Calligraphy"/>
        <family val="4"/>
      </rPr>
      <t>Ed</t>
    </r>
    <r>
      <rPr>
        <sz val="10"/>
        <color theme="1"/>
        <rFont val="Lucida Calligraphy"/>
        <family val="4"/>
      </rPr>
      <t>=</t>
    </r>
  </si>
  <si>
    <t>n=</t>
  </si>
  <si>
    <t>a=</t>
  </si>
  <si>
    <r>
      <t>M</t>
    </r>
    <r>
      <rPr>
        <i/>
        <vertAlign val="subscript"/>
        <sz val="10"/>
        <color theme="1"/>
        <rFont val="Lucida Calligraphy"/>
        <family val="4"/>
      </rPr>
      <t>y,N,Rd</t>
    </r>
    <r>
      <rPr>
        <sz val="10"/>
        <color theme="1"/>
        <rFont val="Lucida Calligraphy"/>
        <family val="4"/>
      </rPr>
      <t>=</t>
    </r>
  </si>
  <si>
    <r>
      <t>N</t>
    </r>
    <r>
      <rPr>
        <i/>
        <vertAlign val="subscript"/>
        <sz val="10"/>
        <color theme="1"/>
        <rFont val="Lucida Calligraphy"/>
        <family val="4"/>
      </rPr>
      <t>Ed</t>
    </r>
    <r>
      <rPr>
        <sz val="10"/>
        <color theme="1"/>
        <rFont val="Lucida Calligraphy"/>
        <family val="4"/>
      </rPr>
      <t>/N</t>
    </r>
    <r>
      <rPr>
        <i/>
        <vertAlign val="subscript"/>
        <sz val="10"/>
        <color theme="1"/>
        <rFont val="Lucida Calligraphy"/>
        <family val="4"/>
      </rPr>
      <t>c,Rd</t>
    </r>
    <r>
      <rPr>
        <sz val="10"/>
        <color theme="1"/>
        <rFont val="Lucida Calligraphy"/>
        <family val="4"/>
      </rPr>
      <t>+M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y,el,Rd</t>
    </r>
    <r>
      <rPr>
        <sz val="10"/>
        <color theme="1"/>
        <rFont val="Lucida Calligraphy"/>
        <family val="4"/>
      </rPr>
      <t>=</t>
    </r>
  </si>
  <si>
    <r>
      <t>N</t>
    </r>
    <r>
      <rPr>
        <i/>
        <vertAlign val="subscript"/>
        <sz val="10"/>
        <color theme="1"/>
        <rFont val="Lucida Calligraphy"/>
        <family val="4"/>
      </rPr>
      <t>c,Rd</t>
    </r>
    <r>
      <rPr>
        <sz val="10"/>
        <color theme="1"/>
        <rFont val="Lucida Calligraphy"/>
        <family val="4"/>
      </rPr>
      <t>=</t>
    </r>
  </si>
  <si>
    <r>
      <t>q</t>
    </r>
    <r>
      <rPr>
        <i/>
        <vertAlign val="subscript"/>
        <sz val="10"/>
        <color theme="1"/>
        <rFont val="Lucida Calligraphy"/>
        <family val="4"/>
      </rPr>
      <t>z,d</t>
    </r>
    <r>
      <rPr>
        <sz val="10"/>
        <color theme="1"/>
        <rFont val="Lucida Calligraphy"/>
        <family val="4"/>
      </rPr>
      <t>=</t>
    </r>
  </si>
  <si>
    <r>
      <t>V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</si>
  <si>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=</t>
    </r>
  </si>
  <si>
    <r>
      <t>V</t>
    </r>
    <r>
      <rPr>
        <i/>
        <vertAlign val="subscript"/>
        <sz val="10"/>
        <color theme="1"/>
        <rFont val="Lucida Calligraphy"/>
        <family val="4"/>
      </rPr>
      <t>z,Ed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</si>
  <si>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z,Ed</t>
    </r>
    <r>
      <rPr>
        <sz val="10"/>
        <color theme="1"/>
        <rFont val="Lucida Calligraphy"/>
        <family val="4"/>
      </rPr>
      <t>=</t>
    </r>
  </si>
  <si>
    <r>
      <t>W</t>
    </r>
    <r>
      <rPr>
        <i/>
        <vertAlign val="subscript"/>
        <sz val="10"/>
        <color theme="1"/>
        <rFont val="Lucida Calligraphy"/>
        <family val="4"/>
      </rPr>
      <t>z,pl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</si>
  <si>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z,pl,Rd</t>
    </r>
    <r>
      <rPr>
        <sz val="10"/>
        <color theme="1"/>
        <rFont val="Lucida Calligraphy"/>
        <family val="4"/>
      </rPr>
      <t>=</t>
    </r>
  </si>
  <si>
    <r>
      <t>W</t>
    </r>
    <r>
      <rPr>
        <i/>
        <vertAlign val="subscript"/>
        <sz val="10"/>
        <color theme="1"/>
        <rFont val="Lucida Calligraphy"/>
        <family val="4"/>
      </rPr>
      <t>z,el</t>
    </r>
    <r>
      <rPr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</si>
  <si>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z,el,Rd</t>
    </r>
    <r>
      <rPr>
        <sz val="10"/>
        <color theme="1"/>
        <rFont val="Lucida Calligraphy"/>
        <family val="4"/>
      </rPr>
      <t>=</t>
    </r>
  </si>
  <si>
    <t>i=</t>
  </si>
  <si>
    <r>
      <t>M</t>
    </r>
    <r>
      <rPr>
        <i/>
        <vertAlign val="subscript"/>
        <sz val="10"/>
        <color theme="1"/>
        <rFont val="Lucida Calligraphy"/>
        <family val="4"/>
      </rPr>
      <t>z,N,Rd</t>
    </r>
    <r>
      <rPr>
        <sz val="10"/>
        <color theme="1"/>
        <rFont val="Lucida Calligraphy"/>
        <family val="4"/>
      </rPr>
      <t>=</t>
    </r>
  </si>
  <si>
    <r>
      <t>N</t>
    </r>
    <r>
      <rPr>
        <i/>
        <vertAlign val="subscript"/>
        <sz val="10"/>
        <color theme="1"/>
        <rFont val="Lucida Calligraphy"/>
        <family val="4"/>
      </rPr>
      <t>Ed</t>
    </r>
    <r>
      <rPr>
        <sz val="10"/>
        <color theme="1"/>
        <rFont val="Lucida Calligraphy"/>
        <family val="4"/>
      </rPr>
      <t>/N</t>
    </r>
    <r>
      <rPr>
        <i/>
        <vertAlign val="subscript"/>
        <sz val="10"/>
        <color theme="1"/>
        <rFont val="Lucida Calligraphy"/>
        <family val="4"/>
      </rPr>
      <t>c,Rd</t>
    </r>
    <r>
      <rPr>
        <sz val="10"/>
        <color theme="1"/>
        <rFont val="Lucida Calligraphy"/>
        <family val="4"/>
      </rPr>
      <t>+M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y,el,Rd+</t>
    </r>
    <r>
      <rPr>
        <i/>
        <sz val="10"/>
        <color theme="1"/>
        <rFont val="Lucida Calligraphy"/>
        <family val="4"/>
      </rPr>
      <t>M</t>
    </r>
    <r>
      <rPr>
        <i/>
        <vertAlign val="subscript"/>
        <sz val="10"/>
        <color theme="1"/>
        <rFont val="Lucida Calligraphy"/>
        <family val="4"/>
      </rPr>
      <t>y,Ed</t>
    </r>
    <r>
      <rPr>
        <i/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y,el,Rd</t>
    </r>
    <r>
      <rPr>
        <sz val="10"/>
        <color theme="1"/>
        <rFont val="Lucida Calligraphy"/>
        <family val="4"/>
      </rPr>
      <t>=</t>
    </r>
  </si>
  <si>
    <t>SLU: Verifica a flessione</t>
  </si>
  <si>
    <t>SLE: Verifica di deformabilità</t>
  </si>
  <si>
    <r>
      <t>q</t>
    </r>
    <r>
      <rPr>
        <i/>
        <vertAlign val="subscript"/>
        <sz val="10"/>
        <color theme="1"/>
        <rFont val="Lucida Calligraphy"/>
        <family val="4"/>
      </rPr>
      <t>y,max</t>
    </r>
    <r>
      <rPr>
        <sz val="10"/>
        <color theme="1"/>
        <rFont val="Lucida Calligraphy"/>
        <family val="4"/>
      </rPr>
      <t>=</t>
    </r>
  </si>
  <si>
    <r>
      <t>q</t>
    </r>
    <r>
      <rPr>
        <i/>
        <vertAlign val="subscript"/>
        <sz val="10"/>
        <color theme="1"/>
        <rFont val="Lucida Calligraphy"/>
        <family val="4"/>
      </rPr>
      <t>z,max</t>
    </r>
    <r>
      <rPr>
        <sz val="10"/>
        <color theme="1"/>
        <rFont val="Lucida Calligraphy"/>
        <family val="4"/>
      </rPr>
      <t>=</t>
    </r>
  </si>
  <si>
    <r>
      <rPr>
        <sz val="10"/>
        <color theme="1"/>
        <rFont val="Symbol"/>
        <family val="1"/>
        <charset val="2"/>
      </rPr>
      <t>d</t>
    </r>
    <r>
      <rPr>
        <i/>
        <vertAlign val="subscript"/>
        <sz val="10"/>
        <color theme="1"/>
        <rFont val="Lucida Calligraphy"/>
        <family val="4"/>
      </rPr>
      <t>y,max</t>
    </r>
    <r>
      <rPr>
        <sz val="10"/>
        <color theme="1"/>
        <rFont val="Lucida Calligraphy"/>
        <family val="4"/>
      </rPr>
      <t>=</t>
    </r>
  </si>
  <si>
    <r>
      <rPr>
        <sz val="10"/>
        <color theme="1"/>
        <rFont val="Symbol"/>
        <family val="1"/>
        <charset val="2"/>
      </rPr>
      <t>d</t>
    </r>
    <r>
      <rPr>
        <i/>
        <vertAlign val="subscript"/>
        <sz val="10"/>
        <color theme="1"/>
        <rFont val="Lucida Calligraphy"/>
        <family val="4"/>
      </rPr>
      <t>z,max</t>
    </r>
    <r>
      <rPr>
        <sz val="10"/>
        <color theme="1"/>
        <rFont val="Lucida Calligraphy"/>
        <family val="4"/>
      </rPr>
      <t>=</t>
    </r>
  </si>
  <si>
    <r>
      <rPr>
        <sz val="10"/>
        <color theme="1"/>
        <rFont val="Symbol"/>
        <family val="1"/>
        <charset val="2"/>
      </rPr>
      <t>d</t>
    </r>
    <r>
      <rPr>
        <i/>
        <vertAlign val="subscript"/>
        <sz val="10"/>
        <color theme="1"/>
        <rFont val="Lucida Calligraphy"/>
        <family val="4"/>
      </rPr>
      <t>max</t>
    </r>
    <r>
      <rPr>
        <sz val="10"/>
        <color theme="1"/>
        <rFont val="Lucida Calligraphy"/>
        <family val="4"/>
      </rPr>
      <t>=</t>
    </r>
  </si>
  <si>
    <r>
      <t>q</t>
    </r>
    <r>
      <rPr>
        <i/>
        <vertAlign val="subscript"/>
        <sz val="10"/>
        <color theme="1"/>
        <rFont val="Lucida Calligraphy"/>
        <family val="4"/>
      </rPr>
      <t>y,2</t>
    </r>
    <r>
      <rPr>
        <sz val="10"/>
        <color theme="1"/>
        <rFont val="Lucida Calligraphy"/>
        <family val="4"/>
      </rPr>
      <t>=</t>
    </r>
  </si>
  <si>
    <r>
      <rPr>
        <sz val="10"/>
        <color theme="1"/>
        <rFont val="Symbol"/>
        <family val="1"/>
        <charset val="2"/>
      </rPr>
      <t>d</t>
    </r>
    <r>
      <rPr>
        <i/>
        <vertAlign val="subscript"/>
        <sz val="10"/>
        <color theme="1"/>
        <rFont val="Lucida Calligraphy"/>
        <family val="4"/>
      </rPr>
      <t>max</t>
    </r>
    <r>
      <rPr>
        <sz val="10"/>
        <color theme="1"/>
        <rFont val="Lucida Calligraphy"/>
        <family val="4"/>
      </rPr>
      <t>/L=</t>
    </r>
  </si>
  <si>
    <r>
      <t>(M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y,N,Rd</t>
    </r>
    <r>
      <rPr>
        <sz val="10"/>
        <color theme="1"/>
        <rFont val="Lucida Calligraphy"/>
        <family val="4"/>
      </rPr>
      <t>)</t>
    </r>
    <r>
      <rPr>
        <i/>
        <vertAlign val="superscript"/>
        <sz val="10"/>
        <color theme="1"/>
        <rFont val="Lucida Calligraphy"/>
        <family val="4"/>
      </rPr>
      <t>2</t>
    </r>
    <r>
      <rPr>
        <sz val="10"/>
        <color theme="1"/>
        <rFont val="Lucida Calligraphy"/>
        <family val="4"/>
      </rPr>
      <t>+(M</t>
    </r>
    <r>
      <rPr>
        <i/>
        <vertAlign val="subscript"/>
        <sz val="10"/>
        <color theme="1"/>
        <rFont val="Lucida Calligraphy"/>
        <family val="4"/>
      </rPr>
      <t>z,Ed</t>
    </r>
    <r>
      <rPr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z,N,Rd</t>
    </r>
    <r>
      <rPr>
        <b/>
        <i/>
        <sz val="10"/>
        <color theme="1"/>
        <rFont val="Lucida Calligraphy"/>
        <family val="4"/>
      </rPr>
      <t>)</t>
    </r>
    <r>
      <rPr>
        <b/>
        <i/>
        <vertAlign val="superscript"/>
        <sz val="10"/>
        <color theme="1"/>
        <rFont val="Lucida Calligraphy"/>
        <family val="4"/>
      </rPr>
      <t>5n</t>
    </r>
    <r>
      <rPr>
        <b/>
        <i/>
        <sz val="10"/>
        <color theme="1"/>
        <rFont val="Lucida Calligraphy"/>
        <family val="4"/>
      </rPr>
      <t>=</t>
    </r>
  </si>
  <si>
    <r>
      <t>M</t>
    </r>
    <r>
      <rPr>
        <i/>
        <vertAlign val="subscript"/>
        <sz val="10"/>
        <color theme="1"/>
        <rFont val="Lucida Calligraphy"/>
        <family val="4"/>
      </rPr>
      <t>y,Ed</t>
    </r>
    <r>
      <rPr>
        <sz val="10"/>
        <color theme="1"/>
        <rFont val="Lucida Calligraphy"/>
        <family val="4"/>
      </rPr>
      <t>/M</t>
    </r>
    <r>
      <rPr>
        <i/>
        <vertAlign val="subscript"/>
        <sz val="10"/>
        <color theme="1"/>
        <rFont val="Lucida Calligraphy"/>
        <family val="4"/>
      </rPr>
      <t>y,N,Rd</t>
    </r>
    <r>
      <rPr>
        <sz val="10"/>
        <color theme="1"/>
        <rFont val="Lucida Calligraphy"/>
        <family val="4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</si>
</sst>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&quot; &quot;???/???"/>
  </numFmts>
  <fonts count="29" x14ac:knownFonts="1">
    <font>
      <sz val="11"/>
      <color theme="1"/>
      <name val="Calibri"/>
      <family val="2"/>
      <scheme val="minor"/>
    </font>
    <font>
      <b/>
      <sz val="20"/>
      <color indexed="10"/>
      <name val="Comic Sans MS"/>
      <family val="4"/>
    </font>
    <font>
      <sz val="9"/>
      <name val="Comic Sans MS"/>
      <family val="4"/>
    </font>
    <font>
      <sz val="8"/>
      <name val="Arial"/>
      <family val="2"/>
    </font>
    <font>
      <sz val="7"/>
      <name val="Arial"/>
      <family val="2"/>
    </font>
    <font>
      <b/>
      <sz val="9"/>
      <color indexed="10"/>
      <name val="Comic Sans MS"/>
      <family val="4"/>
    </font>
    <font>
      <sz val="6"/>
      <name val="Comic Sans MS"/>
      <family val="4"/>
    </font>
    <font>
      <b/>
      <vertAlign val="subscript"/>
      <sz val="9"/>
      <name val="Arial"/>
      <family val="2"/>
    </font>
    <font>
      <sz val="9"/>
      <name val="Symbol"/>
      <family val="1"/>
      <charset val="2"/>
    </font>
    <font>
      <sz val="8"/>
      <name val="Comic Sans MS"/>
      <family val="4"/>
    </font>
    <font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b/>
      <sz val="8"/>
      <name val="Comic Sans MS"/>
      <family val="4"/>
    </font>
    <font>
      <sz val="10"/>
      <name val="Tahoma"/>
      <family val="2"/>
    </font>
    <font>
      <sz val="9"/>
      <color indexed="8"/>
      <name val="Comic Sans MS"/>
      <family val="4"/>
    </font>
    <font>
      <b/>
      <u/>
      <sz val="10"/>
      <color theme="1"/>
      <name val="Lucida Calligraphy"/>
      <family val="4"/>
    </font>
    <font>
      <sz val="10"/>
      <color theme="1"/>
      <name val="Lucida Calligraphy"/>
      <family val="4"/>
    </font>
    <font>
      <vertAlign val="subscript"/>
      <sz val="10"/>
      <color theme="1"/>
      <name val="Lucida Calligraphy"/>
      <family val="4"/>
    </font>
    <font>
      <i/>
      <vertAlign val="subscript"/>
      <sz val="10"/>
      <color theme="1"/>
      <name val="Lucida Calligraphy"/>
      <family val="4"/>
    </font>
    <font>
      <sz val="10"/>
      <name val="Lucida Calligraphy"/>
      <family val="4"/>
    </font>
    <font>
      <b/>
      <vertAlign val="subscript"/>
      <sz val="10"/>
      <name val="Lucida Calligraphy"/>
      <family val="4"/>
    </font>
    <font>
      <i/>
      <vertAlign val="superscript"/>
      <sz val="10"/>
      <color theme="1"/>
      <name val="Lucida Calligraphy"/>
      <family val="4"/>
    </font>
    <font>
      <u/>
      <sz val="10"/>
      <color theme="1"/>
      <name val="Lucida Calligraphy"/>
      <family val="4"/>
    </font>
    <font>
      <sz val="10"/>
      <color theme="1"/>
      <name val="Symbol"/>
      <family val="1"/>
      <charset val="2"/>
    </font>
    <font>
      <b/>
      <i/>
      <sz val="10"/>
      <color theme="1"/>
      <name val="Lucida Calligraphy"/>
      <family val="4"/>
    </font>
    <font>
      <i/>
      <sz val="10"/>
      <color theme="1"/>
      <name val="Lucida Calligraphy"/>
      <family val="4"/>
    </font>
    <font>
      <b/>
      <i/>
      <vertAlign val="superscript"/>
      <sz val="10"/>
      <color theme="1"/>
      <name val="Lucida Calligraphy"/>
      <family val="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2" fillId="8" borderId="5" xfId="0" applyFont="1" applyFill="1" applyBorder="1" applyAlignment="1"/>
    <xf numFmtId="0" fontId="2" fillId="8" borderId="6" xfId="0" applyFont="1" applyFill="1" applyBorder="1" applyAlignment="1"/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0" xfId="0" applyBorder="1"/>
    <xf numFmtId="0" fontId="14" fillId="2" borderId="17" xfId="0" applyFont="1" applyFill="1" applyBorder="1"/>
    <xf numFmtId="0" fontId="9" fillId="4" borderId="17" xfId="0" applyFont="1" applyFill="1" applyBorder="1" applyAlignment="1">
      <alignment horizontal="right"/>
    </xf>
    <xf numFmtId="0" fontId="9" fillId="4" borderId="17" xfId="0" applyFont="1" applyFill="1" applyBorder="1" applyAlignment="1">
      <alignment horizontal="center"/>
    </xf>
    <xf numFmtId="164" fontId="16" fillId="8" borderId="17" xfId="1" applyNumberFormat="1" applyFont="1" applyFill="1" applyBorder="1" applyAlignment="1">
      <alignment horizontal="center"/>
    </xf>
    <xf numFmtId="2" fontId="9" fillId="4" borderId="17" xfId="0" applyNumberFormat="1" applyFont="1" applyFill="1" applyBorder="1" applyAlignment="1">
      <alignment horizontal="center"/>
    </xf>
    <xf numFmtId="165" fontId="16" fillId="8" borderId="17" xfId="0" applyNumberFormat="1" applyFont="1" applyFill="1" applyBorder="1" applyAlignment="1">
      <alignment horizontal="center"/>
    </xf>
    <xf numFmtId="2" fontId="16" fillId="8" borderId="17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right"/>
    </xf>
    <xf numFmtId="2" fontId="16" fillId="8" borderId="17" xfId="1" applyNumberFormat="1" applyFont="1" applyFill="1" applyBorder="1" applyAlignment="1">
      <alignment horizontal="center"/>
    </xf>
    <xf numFmtId="165" fontId="9" fillId="8" borderId="17" xfId="0" applyNumberFormat="1" applyFont="1" applyFill="1" applyBorder="1" applyAlignment="1">
      <alignment horizontal="right"/>
    </xf>
    <xf numFmtId="2" fontId="9" fillId="0" borderId="17" xfId="0" applyNumberFormat="1" applyFont="1" applyBorder="1" applyAlignment="1">
      <alignment horizontal="center"/>
    </xf>
    <xf numFmtId="2" fontId="9" fillId="8" borderId="17" xfId="0" applyNumberFormat="1" applyFont="1" applyFill="1" applyBorder="1" applyAlignment="1">
      <alignment horizontal="right"/>
    </xf>
    <xf numFmtId="0" fontId="14" fillId="2" borderId="17" xfId="0" applyFont="1" applyFill="1" applyBorder="1" applyAlignment="1"/>
    <xf numFmtId="164" fontId="9" fillId="8" borderId="17" xfId="0" applyNumberFormat="1" applyFont="1" applyFill="1" applyBorder="1" applyAlignment="1">
      <alignment horizontal="right"/>
    </xf>
    <xf numFmtId="1" fontId="9" fillId="8" borderId="17" xfId="0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11" fontId="18" fillId="0" borderId="0" xfId="0" applyNumberFormat="1" applyFont="1" applyAlignment="1">
      <alignment horizontal="center"/>
    </xf>
    <xf numFmtId="0" fontId="18" fillId="0" borderId="0" xfId="0" quotePrefix="1" applyFont="1"/>
    <xf numFmtId="0" fontId="18" fillId="0" borderId="0" xfId="0" quotePrefix="1" applyFont="1" applyAlignment="1">
      <alignment horizontal="center"/>
    </xf>
    <xf numFmtId="2" fontId="18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1" fontId="18" fillId="0" borderId="0" xfId="0" applyNumberFormat="1" applyFont="1" applyAlignment="1">
      <alignment horizontal="center"/>
    </xf>
    <xf numFmtId="0" fontId="24" fillId="0" borderId="0" xfId="0" quotePrefix="1" applyFont="1"/>
    <xf numFmtId="165" fontId="18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</cellXfs>
  <cellStyles count="2">
    <cellStyle name="Normale" xfId="0" builtinId="0"/>
    <cellStyle name="Normale_Sagomari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</xdr:colOff>
      <xdr:row>6</xdr:row>
      <xdr:rowOff>19050</xdr:rowOff>
    </xdr:from>
    <xdr:to>
      <xdr:col>13</xdr:col>
      <xdr:colOff>24167</xdr:colOff>
      <xdr:row>15</xdr:row>
      <xdr:rowOff>123825</xdr:rowOff>
    </xdr:to>
    <xdr:pic>
      <xdr:nvPicPr>
        <xdr:cNvPr id="2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5702" r="1393" b="3410"/>
        <a:stretch/>
      </xdr:blipFill>
      <xdr:spPr bwMode="auto">
        <a:xfrm>
          <a:off x="4295774" y="1085850"/>
          <a:ext cx="4281843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</xdr:colOff>
      <xdr:row>6</xdr:row>
      <xdr:rowOff>19050</xdr:rowOff>
    </xdr:from>
    <xdr:to>
      <xdr:col>13</xdr:col>
      <xdr:colOff>24167</xdr:colOff>
      <xdr:row>15</xdr:row>
      <xdr:rowOff>161925</xdr:rowOff>
    </xdr:to>
    <xdr:pic>
      <xdr:nvPicPr>
        <xdr:cNvPr id="2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5702" r="1393" b="3410"/>
        <a:stretch/>
      </xdr:blipFill>
      <xdr:spPr bwMode="auto">
        <a:xfrm>
          <a:off x="4295774" y="1085850"/>
          <a:ext cx="4281843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</xdr:colOff>
      <xdr:row>9</xdr:row>
      <xdr:rowOff>123825</xdr:rowOff>
    </xdr:from>
    <xdr:to>
      <xdr:col>13</xdr:col>
      <xdr:colOff>43217</xdr:colOff>
      <xdr:row>19</xdr:row>
      <xdr:rowOff>47625</xdr:rowOff>
    </xdr:to>
    <xdr:pic>
      <xdr:nvPicPr>
        <xdr:cNvPr id="2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5702" r="1393" b="3410"/>
        <a:stretch/>
      </xdr:blipFill>
      <xdr:spPr bwMode="auto">
        <a:xfrm>
          <a:off x="4314824" y="1724025"/>
          <a:ext cx="4281843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331096</xdr:colOff>
      <xdr:row>0</xdr:row>
      <xdr:rowOff>114299</xdr:rowOff>
    </xdr:from>
    <xdr:to>
      <xdr:col>9</xdr:col>
      <xdr:colOff>66675</xdr:colOff>
      <xdr:row>9</xdr:row>
      <xdr:rowOff>28574</xdr:rowOff>
    </xdr:to>
    <xdr:pic>
      <xdr:nvPicPr>
        <xdr:cNvPr id="3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48" t="5702" r="2366" b="3410"/>
        <a:stretch/>
      </xdr:blipFill>
      <xdr:spPr bwMode="auto">
        <a:xfrm rot="1090779">
          <a:off x="5226946" y="114299"/>
          <a:ext cx="954779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topLeftCell="T1" workbookViewId="0">
      <selection activeCell="AF8" sqref="AF8"/>
    </sheetView>
  </sheetViews>
  <sheetFormatPr defaultRowHeight="15" x14ac:dyDescent="0.25"/>
  <sheetData>
    <row r="1" spans="1:47" ht="15.75" x14ac:dyDescent="0.3">
      <c r="A1" s="62" t="s">
        <v>0</v>
      </c>
      <c r="B1" s="65" t="s">
        <v>1</v>
      </c>
      <c r="C1" s="66"/>
      <c r="D1" s="66"/>
      <c r="E1" s="66"/>
      <c r="F1" s="66"/>
      <c r="G1" s="67"/>
      <c r="H1" s="71" t="s">
        <v>2</v>
      </c>
      <c r="I1" s="73" t="s">
        <v>3</v>
      </c>
      <c r="J1" s="75" t="s">
        <v>4</v>
      </c>
      <c r="K1" s="76"/>
      <c r="L1" s="76"/>
      <c r="M1" s="76"/>
      <c r="N1" s="76"/>
      <c r="O1" s="76"/>
      <c r="P1" s="76"/>
      <c r="Q1" s="76"/>
      <c r="R1" s="76"/>
      <c r="S1" s="77"/>
      <c r="T1" s="58" t="s">
        <v>5</v>
      </c>
      <c r="U1" s="59"/>
      <c r="V1" s="45" t="s">
        <v>6</v>
      </c>
      <c r="W1" s="46"/>
      <c r="X1" s="46"/>
      <c r="Y1" s="46"/>
      <c r="Z1" s="46"/>
      <c r="AA1" s="47"/>
      <c r="AB1" s="48" t="s">
        <v>7</v>
      </c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50"/>
    </row>
    <row r="2" spans="1:47" ht="15.75" x14ac:dyDescent="0.3">
      <c r="A2" s="63"/>
      <c r="B2" s="68"/>
      <c r="C2" s="69"/>
      <c r="D2" s="69"/>
      <c r="E2" s="69"/>
      <c r="F2" s="69"/>
      <c r="G2" s="70"/>
      <c r="H2" s="72"/>
      <c r="I2" s="74"/>
      <c r="J2" s="78"/>
      <c r="K2" s="79"/>
      <c r="L2" s="79"/>
      <c r="M2" s="79"/>
      <c r="N2" s="79"/>
      <c r="O2" s="79"/>
      <c r="P2" s="79"/>
      <c r="Q2" s="79"/>
      <c r="R2" s="79"/>
      <c r="S2" s="80"/>
      <c r="T2" s="60"/>
      <c r="U2" s="61"/>
      <c r="V2" s="51" t="s">
        <v>8</v>
      </c>
      <c r="W2" s="52"/>
      <c r="X2" s="53"/>
      <c r="Y2" s="51" t="s">
        <v>9</v>
      </c>
      <c r="Z2" s="52"/>
      <c r="AA2" s="53"/>
      <c r="AB2" s="54" t="s">
        <v>10</v>
      </c>
      <c r="AC2" s="54"/>
      <c r="AD2" s="54"/>
      <c r="AE2" s="54"/>
      <c r="AF2" s="55"/>
      <c r="AG2" s="56" t="s">
        <v>11</v>
      </c>
      <c r="AH2" s="57"/>
      <c r="AI2" s="57"/>
      <c r="AJ2" s="57"/>
      <c r="AK2" s="1"/>
      <c r="AL2" s="2"/>
      <c r="AM2" s="2"/>
      <c r="AN2" s="2"/>
      <c r="AO2" s="2"/>
      <c r="AP2" s="2"/>
      <c r="AQ2" s="2"/>
      <c r="AR2" s="2"/>
      <c r="AS2" s="2"/>
      <c r="AT2" s="3"/>
      <c r="AU2" s="4"/>
    </row>
    <row r="3" spans="1:47" ht="15.75" x14ac:dyDescent="0.3">
      <c r="A3" s="64"/>
      <c r="B3" s="5" t="s">
        <v>12</v>
      </c>
      <c r="C3" s="5" t="s">
        <v>13</v>
      </c>
      <c r="D3" s="5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5" t="s">
        <v>19</v>
      </c>
      <c r="J3" s="5" t="s">
        <v>20</v>
      </c>
      <c r="K3" s="5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17</v>
      </c>
      <c r="Q3" s="6" t="s">
        <v>17</v>
      </c>
      <c r="R3" s="6" t="s">
        <v>26</v>
      </c>
      <c r="S3" s="7" t="s">
        <v>27</v>
      </c>
      <c r="T3" s="6" t="s">
        <v>28</v>
      </c>
      <c r="U3" s="6" t="s">
        <v>29</v>
      </c>
      <c r="V3" s="43" t="s">
        <v>30</v>
      </c>
      <c r="W3" s="43" t="s">
        <v>31</v>
      </c>
      <c r="X3" s="43" t="s">
        <v>32</v>
      </c>
      <c r="Y3" s="43" t="s">
        <v>30</v>
      </c>
      <c r="Z3" s="43" t="s">
        <v>31</v>
      </c>
      <c r="AA3" s="43" t="s">
        <v>32</v>
      </c>
      <c r="AB3" s="6" t="s">
        <v>33</v>
      </c>
      <c r="AC3" s="6" t="s">
        <v>34</v>
      </c>
      <c r="AD3" s="6" t="s">
        <v>35</v>
      </c>
      <c r="AE3" s="6" t="s">
        <v>36</v>
      </c>
      <c r="AF3" s="6" t="s">
        <v>37</v>
      </c>
      <c r="AG3" s="6" t="s">
        <v>38</v>
      </c>
      <c r="AH3" s="6" t="s">
        <v>39</v>
      </c>
      <c r="AI3" s="6" t="s">
        <v>40</v>
      </c>
      <c r="AJ3" s="6" t="s">
        <v>41</v>
      </c>
      <c r="AK3" s="5" t="s">
        <v>42</v>
      </c>
      <c r="AL3" s="5" t="s">
        <v>43</v>
      </c>
      <c r="AM3" s="5" t="s">
        <v>44</v>
      </c>
      <c r="AN3" s="5" t="s">
        <v>17</v>
      </c>
      <c r="AO3" s="5" t="s">
        <v>17</v>
      </c>
      <c r="AP3" s="5" t="s">
        <v>17</v>
      </c>
      <c r="AQ3" s="5" t="s">
        <v>17</v>
      </c>
      <c r="AR3" s="5" t="s">
        <v>17</v>
      </c>
      <c r="AS3" s="5" t="s">
        <v>17</v>
      </c>
      <c r="AT3" s="5" t="s">
        <v>17</v>
      </c>
      <c r="AU3" s="5" t="s">
        <v>17</v>
      </c>
    </row>
    <row r="4" spans="1:47" ht="15.75" x14ac:dyDescent="0.3">
      <c r="A4" s="8" t="s">
        <v>45</v>
      </c>
      <c r="B4" s="9" t="s">
        <v>46</v>
      </c>
      <c r="C4" s="9" t="s">
        <v>46</v>
      </c>
      <c r="D4" s="9" t="s">
        <v>46</v>
      </c>
      <c r="E4" s="9" t="s">
        <v>46</v>
      </c>
      <c r="F4" s="9" t="s">
        <v>46</v>
      </c>
      <c r="G4" s="9" t="s">
        <v>17</v>
      </c>
      <c r="H4" s="9" t="s">
        <v>47</v>
      </c>
      <c r="I4" s="9" t="s">
        <v>48</v>
      </c>
      <c r="J4" s="9" t="s">
        <v>48</v>
      </c>
      <c r="K4" s="9" t="s">
        <v>46</v>
      </c>
      <c r="L4" s="9" t="s">
        <v>46</v>
      </c>
      <c r="M4" s="9" t="s">
        <v>46</v>
      </c>
      <c r="N4" s="9" t="s">
        <v>46</v>
      </c>
      <c r="O4" s="9" t="s">
        <v>46</v>
      </c>
      <c r="P4" s="9" t="s">
        <v>17</v>
      </c>
      <c r="Q4" s="9" t="s">
        <v>17</v>
      </c>
      <c r="R4" s="9" t="s">
        <v>46</v>
      </c>
      <c r="S4" s="9" t="s">
        <v>49</v>
      </c>
      <c r="T4" s="9" t="s">
        <v>50</v>
      </c>
      <c r="U4" s="9" t="s">
        <v>51</v>
      </c>
      <c r="V4" s="44"/>
      <c r="W4" s="44"/>
      <c r="X4" s="44"/>
      <c r="Y4" s="44"/>
      <c r="Z4" s="44"/>
      <c r="AA4" s="44"/>
      <c r="AB4" s="10" t="s">
        <v>52</v>
      </c>
      <c r="AC4" s="9" t="s">
        <v>53</v>
      </c>
      <c r="AD4" s="9" t="s">
        <v>53</v>
      </c>
      <c r="AE4" s="9" t="s">
        <v>54</v>
      </c>
      <c r="AF4" s="9" t="s">
        <v>48</v>
      </c>
      <c r="AG4" s="9" t="s">
        <v>52</v>
      </c>
      <c r="AH4" s="9" t="s">
        <v>53</v>
      </c>
      <c r="AI4" s="9" t="s">
        <v>53</v>
      </c>
      <c r="AJ4" s="9" t="s">
        <v>54</v>
      </c>
      <c r="AK4" s="9" t="s">
        <v>46</v>
      </c>
      <c r="AL4" s="9" t="s">
        <v>52</v>
      </c>
      <c r="AM4" s="9" t="s">
        <v>55</v>
      </c>
      <c r="AN4" s="9" t="s">
        <v>17</v>
      </c>
      <c r="AO4" s="9" t="s">
        <v>17</v>
      </c>
      <c r="AP4" s="9" t="s">
        <v>17</v>
      </c>
      <c r="AQ4" s="9" t="s">
        <v>17</v>
      </c>
      <c r="AR4" s="9" t="s">
        <v>17</v>
      </c>
      <c r="AS4" s="9" t="s">
        <v>17</v>
      </c>
      <c r="AT4" s="9" t="s">
        <v>17</v>
      </c>
      <c r="AU4" s="9" t="s">
        <v>17</v>
      </c>
    </row>
    <row r="5" spans="1:4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ht="15.75" x14ac:dyDescent="0.3">
      <c r="A6" s="12" t="s">
        <v>56</v>
      </c>
      <c r="B6" s="13">
        <v>78</v>
      </c>
      <c r="C6" s="13">
        <v>46</v>
      </c>
      <c r="D6" s="13">
        <v>3.3</v>
      </c>
      <c r="E6" s="13">
        <v>4.2</v>
      </c>
      <c r="F6" s="13">
        <v>5</v>
      </c>
      <c r="G6" s="14" t="s">
        <v>17</v>
      </c>
      <c r="H6" s="15">
        <f>I6*0.785</f>
        <v>5.004690441733004</v>
      </c>
      <c r="I6" s="15">
        <f>(2*C6*E6+D6*(B6-2*E6)+(4-PI())*F6^2)/100</f>
        <v>6.3754018366025527</v>
      </c>
      <c r="J6" s="16" t="s">
        <v>17</v>
      </c>
      <c r="K6" s="15">
        <f>B6-2*E6</f>
        <v>69.599999999999994</v>
      </c>
      <c r="L6" s="15">
        <f>K6-2*F6</f>
        <v>59.599999999999994</v>
      </c>
      <c r="M6" s="14" t="s">
        <v>17</v>
      </c>
      <c r="N6" s="14" t="s">
        <v>17</v>
      </c>
      <c r="O6" s="14" t="s">
        <v>17</v>
      </c>
      <c r="P6" s="14" t="s">
        <v>17</v>
      </c>
      <c r="Q6" s="14" t="s">
        <v>17</v>
      </c>
      <c r="R6" s="14">
        <f>C6/4</f>
        <v>11.5</v>
      </c>
      <c r="S6" s="14">
        <v>0</v>
      </c>
      <c r="T6" s="17">
        <f t="shared" ref="T6:T58" si="0">(4*(C6-2*F6)+2*(B6-D6)+2*PI()*F6)/1000</f>
        <v>0.32481592653589791</v>
      </c>
      <c r="U6" s="18">
        <f t="shared" ref="U6:U58" si="1">1000*T6/(I6*0.785)</f>
        <v>64.902301214742451</v>
      </c>
      <c r="V6" s="19">
        <v>1</v>
      </c>
      <c r="W6" s="19">
        <v>1</v>
      </c>
      <c r="X6" s="19">
        <v>1</v>
      </c>
      <c r="Y6" s="19">
        <v>1</v>
      </c>
      <c r="Z6" s="19">
        <v>1</v>
      </c>
      <c r="AA6" s="19">
        <v>1</v>
      </c>
      <c r="AB6" s="15">
        <f t="shared" ref="AB6:AB58" si="2">((C6*B6^3-(C6-D6)*(B6-2*E6)^3)/12+0.03*F6^4+0.2146*F6^2*(B6-2*E6-0.4468*F6)^2)/10000</f>
        <v>64.377740913394007</v>
      </c>
      <c r="AC6" s="15">
        <f t="shared" ref="AC6:AC58" si="3">2*AB6/(B6/10)</f>
        <v>16.507113054716413</v>
      </c>
      <c r="AD6" s="15">
        <f t="shared" ref="AD6:AD58" si="4">(D6*B6^2/4+E6*(C6-D6)*(B6-E6)+(4-PI())*(B6-2*E6)*F6^2/2+(3*PI()-10)*F6^3/3)/1000</f>
        <v>18.977438806408937</v>
      </c>
      <c r="AE6" s="20">
        <f t="shared" ref="AE6:AE58" si="5">(AB6/I6)^0.5</f>
        <v>3.1777087129336756</v>
      </c>
      <c r="AF6" s="20">
        <f t="shared" ref="AF6:AF58" si="6">I6+((D6+2*F6)*E6-2*C6*E6)/100</f>
        <v>3.0700018366025525</v>
      </c>
      <c r="AG6" s="18">
        <f t="shared" ref="AG6:AG58" si="7">((2*E6*C6^3+(B6-2*E6)*D6^3)/12+0.03*F6^4+0.2146*F6^2*(D6+0.4468*F6)^2)/10000</f>
        <v>6.8526688561939997</v>
      </c>
      <c r="AH6" s="18">
        <f t="shared" ref="AH6:AH58" si="8">2*AG6/(C6/10)</f>
        <v>2.9794212418234785</v>
      </c>
      <c r="AI6" s="20">
        <f t="shared" ref="AI6:AI58" si="9">(E6*C6^2/2+(B6-2*E6)*D6^2/4+(10/3-PI())*F6^3+(4-PI())*D6*F6^2/2)/1000</f>
        <v>4.6924628880073636</v>
      </c>
      <c r="AJ6" s="20">
        <f t="shared" ref="AJ6:AJ58" si="10">(AG6/I6)^0.5</f>
        <v>1.0367548871981265</v>
      </c>
      <c r="AK6" s="20">
        <f>D6+2*E6+(4-2*2^0.5)*F6</f>
        <v>17.557864376269048</v>
      </c>
      <c r="AL6" s="21">
        <f>(2*(C6-0.63*E6)*E6^3/3 +(B6-2*E6)*D6^3/3+2*D6/E6*(0.145+0.1*F6/E6)*(((F6+D6/2)^2+(F6+E6)^2-F6^2)/(2*F6+E6))^4)/10000</f>
        <v>0.41626475087492726</v>
      </c>
      <c r="AM6" s="21">
        <f>10^-9*E6*C6^3*(B6-E6)^2/24</f>
        <v>9.2773569672000011E-2</v>
      </c>
      <c r="AN6" s="22" t="s">
        <v>17</v>
      </c>
      <c r="AO6" s="22" t="s">
        <v>17</v>
      </c>
      <c r="AP6" s="22" t="s">
        <v>17</v>
      </c>
      <c r="AQ6" s="22" t="s">
        <v>17</v>
      </c>
      <c r="AR6" s="22" t="s">
        <v>17</v>
      </c>
      <c r="AS6" s="22" t="s">
        <v>17</v>
      </c>
      <c r="AT6" s="22" t="s">
        <v>17</v>
      </c>
      <c r="AU6" s="22" t="s">
        <v>17</v>
      </c>
    </row>
    <row r="7" spans="1:47" ht="15.75" x14ac:dyDescent="0.3">
      <c r="A7" s="12" t="s">
        <v>57</v>
      </c>
      <c r="B7" s="13">
        <v>80</v>
      </c>
      <c r="C7" s="13">
        <v>46</v>
      </c>
      <c r="D7" s="13">
        <v>3.8</v>
      </c>
      <c r="E7" s="13">
        <v>5.2</v>
      </c>
      <c r="F7" s="13">
        <v>5</v>
      </c>
      <c r="G7" s="14" t="s">
        <v>17</v>
      </c>
      <c r="H7" s="15">
        <f t="shared" ref="H7:H58" si="11">I7*0.785</f>
        <v>6.000070441733004</v>
      </c>
      <c r="I7" s="15">
        <f t="shared" ref="I7:I58" si="12">(2*C7*E7+D7*(B7-2*E7)+(4-PI())*F7^2)/100</f>
        <v>7.6434018366025525</v>
      </c>
      <c r="J7" s="16" t="s">
        <v>17</v>
      </c>
      <c r="K7" s="15">
        <f>B7-2*E7</f>
        <v>69.599999999999994</v>
      </c>
      <c r="L7" s="15">
        <f>K7-2*F7</f>
        <v>59.599999999999994</v>
      </c>
      <c r="M7" s="14" t="s">
        <v>17</v>
      </c>
      <c r="N7" s="14" t="s">
        <v>17</v>
      </c>
      <c r="O7" s="14" t="s">
        <v>17</v>
      </c>
      <c r="P7" s="14" t="s">
        <v>17</v>
      </c>
      <c r="Q7" s="14" t="s">
        <v>17</v>
      </c>
      <c r="R7" s="14">
        <f t="shared" ref="R7:R58" si="13">C7/4</f>
        <v>11.5</v>
      </c>
      <c r="S7" s="14">
        <v>0</v>
      </c>
      <c r="T7" s="17">
        <f t="shared" si="0"/>
        <v>0.32781592653589792</v>
      </c>
      <c r="U7" s="18">
        <f t="shared" si="1"/>
        <v>54.635346321236632</v>
      </c>
      <c r="V7" s="19">
        <v>1</v>
      </c>
      <c r="W7" s="19">
        <v>1</v>
      </c>
      <c r="X7" s="19">
        <v>1</v>
      </c>
      <c r="Y7" s="19">
        <v>1</v>
      </c>
      <c r="Z7" s="19">
        <v>1</v>
      </c>
      <c r="AA7" s="19">
        <v>1</v>
      </c>
      <c r="AB7" s="15">
        <f t="shared" si="2"/>
        <v>80.137613980060692</v>
      </c>
      <c r="AC7" s="15">
        <f t="shared" si="3"/>
        <v>20.034403495015173</v>
      </c>
      <c r="AD7" s="15">
        <f t="shared" si="4"/>
        <v>23.216958806408936</v>
      </c>
      <c r="AE7" s="20">
        <f t="shared" si="5"/>
        <v>3.2379851869285368</v>
      </c>
      <c r="AF7" s="20">
        <f t="shared" si="6"/>
        <v>3.5770018366025518</v>
      </c>
      <c r="AG7" s="18">
        <f t="shared" si="7"/>
        <v>8.4890209388606674</v>
      </c>
      <c r="AH7" s="18">
        <f t="shared" si="8"/>
        <v>3.6908786690698556</v>
      </c>
      <c r="AI7" s="20">
        <f t="shared" si="9"/>
        <v>5.8175979339224275</v>
      </c>
      <c r="AJ7" s="20">
        <f t="shared" si="10"/>
        <v>1.0538661523197415</v>
      </c>
      <c r="AK7" s="20">
        <f t="shared" ref="AK7:AK58" si="14">D7+2*E7+(4-2*2^0.5)*F7</f>
        <v>20.057864376269048</v>
      </c>
      <c r="AL7" s="21">
        <f t="shared" ref="AL7:AL58" si="15">(2*(C7-0.63*E7)*E7^3/3 +(B7-2*E7)*D7^3/3+2*D7/E7*(0.145+0.1*F7/E7)*(((F7+D7/2)^2+(F7+E7)^2-F7^2)/(2*F7+E7))^4)/10000</f>
        <v>0.69767548894603104</v>
      </c>
      <c r="AM7" s="21">
        <f t="shared" ref="AM7:AM58" si="16">10^-9*E7*C7^3*(B7-E7)^2/24</f>
        <v>0.11799640957866668</v>
      </c>
      <c r="AN7" s="22" t="s">
        <v>17</v>
      </c>
      <c r="AO7" s="22" t="s">
        <v>17</v>
      </c>
      <c r="AP7" s="22" t="s">
        <v>17</v>
      </c>
      <c r="AQ7" s="22" t="s">
        <v>17</v>
      </c>
      <c r="AR7" s="22" t="s">
        <v>17</v>
      </c>
      <c r="AS7" s="22" t="s">
        <v>17</v>
      </c>
      <c r="AT7" s="22" t="s">
        <v>17</v>
      </c>
      <c r="AU7" s="22" t="s">
        <v>17</v>
      </c>
    </row>
    <row r="8" spans="1:47" ht="15.75" x14ac:dyDescent="0.3">
      <c r="A8" s="12" t="s">
        <v>58</v>
      </c>
      <c r="B8" s="13">
        <v>98</v>
      </c>
      <c r="C8" s="13">
        <v>55</v>
      </c>
      <c r="D8" s="13">
        <v>3.6</v>
      </c>
      <c r="E8" s="13">
        <v>4.7</v>
      </c>
      <c r="F8" s="13">
        <v>7</v>
      </c>
      <c r="G8" s="14" t="s">
        <v>17</v>
      </c>
      <c r="H8" s="15">
        <f t="shared" si="11"/>
        <v>6.8924723857966859</v>
      </c>
      <c r="I8" s="15">
        <f t="shared" si="12"/>
        <v>8.7802195997410006</v>
      </c>
      <c r="J8" s="16" t="s">
        <v>17</v>
      </c>
      <c r="K8" s="15">
        <f t="shared" ref="K8:K58" si="17">B8-2*E8</f>
        <v>88.6</v>
      </c>
      <c r="L8" s="15">
        <f t="shared" ref="L8:L58" si="18">K8-2*F8</f>
        <v>74.599999999999994</v>
      </c>
      <c r="M8" s="14" t="s">
        <v>17</v>
      </c>
      <c r="N8" s="14" t="s">
        <v>17</v>
      </c>
      <c r="O8" s="14" t="s">
        <v>17</v>
      </c>
      <c r="P8" s="14" t="s">
        <v>17</v>
      </c>
      <c r="Q8" s="14" t="s">
        <v>17</v>
      </c>
      <c r="R8" s="14">
        <f t="shared" si="13"/>
        <v>13.75</v>
      </c>
      <c r="S8" s="14">
        <v>0</v>
      </c>
      <c r="T8" s="17">
        <f t="shared" si="0"/>
        <v>0.39678229715025715</v>
      </c>
      <c r="U8" s="18">
        <f t="shared" si="1"/>
        <v>57.56748448755576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5">
        <f t="shared" si="2"/>
        <v>141.16032925117054</v>
      </c>
      <c r="AC8" s="15">
        <f t="shared" si="3"/>
        <v>28.808230459422557</v>
      </c>
      <c r="AD8" s="15">
        <f t="shared" si="4"/>
        <v>32.980591773700603</v>
      </c>
      <c r="AE8" s="20">
        <f t="shared" si="5"/>
        <v>4.0096239396664695</v>
      </c>
      <c r="AF8" s="20">
        <f t="shared" si="6"/>
        <v>4.4374195997410011</v>
      </c>
      <c r="AG8" s="18">
        <f t="shared" si="7"/>
        <v>13.121952346508046</v>
      </c>
      <c r="AH8" s="18">
        <f t="shared" si="8"/>
        <v>4.7716190350938348</v>
      </c>
      <c r="AI8" s="20">
        <f t="shared" si="9"/>
        <v>7.5372925811054143</v>
      </c>
      <c r="AJ8" s="20">
        <f t="shared" si="10"/>
        <v>1.2224934449210609</v>
      </c>
      <c r="AK8" s="20">
        <f t="shared" si="14"/>
        <v>21.201010126776666</v>
      </c>
      <c r="AL8" s="21">
        <f t="shared" si="15"/>
        <v>0.77310403180210574</v>
      </c>
      <c r="AM8" s="21">
        <f t="shared" si="16"/>
        <v>0.28362073110937502</v>
      </c>
      <c r="AN8" s="22" t="s">
        <v>17</v>
      </c>
      <c r="AO8" s="22" t="s">
        <v>17</v>
      </c>
      <c r="AP8" s="22" t="s">
        <v>17</v>
      </c>
      <c r="AQ8" s="22" t="s">
        <v>17</v>
      </c>
      <c r="AR8" s="22" t="s">
        <v>17</v>
      </c>
      <c r="AS8" s="22" t="s">
        <v>17</v>
      </c>
      <c r="AT8" s="22" t="s">
        <v>17</v>
      </c>
      <c r="AU8" s="22" t="s">
        <v>17</v>
      </c>
    </row>
    <row r="9" spans="1:47" ht="15.75" x14ac:dyDescent="0.3">
      <c r="A9" s="12" t="s">
        <v>59</v>
      </c>
      <c r="B9" s="13">
        <v>100</v>
      </c>
      <c r="C9" s="13">
        <v>55</v>
      </c>
      <c r="D9" s="13">
        <v>4.0999999999999996</v>
      </c>
      <c r="E9" s="13">
        <v>5.7</v>
      </c>
      <c r="F9" s="13">
        <v>7</v>
      </c>
      <c r="G9" s="14" t="s">
        <v>17</v>
      </c>
      <c r="H9" s="15">
        <f t="shared" si="11"/>
        <v>8.1037273857966863</v>
      </c>
      <c r="I9" s="15">
        <f t="shared" si="12"/>
        <v>10.323219599741002</v>
      </c>
      <c r="J9" s="16" t="s">
        <v>17</v>
      </c>
      <c r="K9" s="15">
        <f t="shared" si="17"/>
        <v>88.6</v>
      </c>
      <c r="L9" s="15">
        <f t="shared" si="18"/>
        <v>74.599999999999994</v>
      </c>
      <c r="M9" s="14" t="s">
        <v>17</v>
      </c>
      <c r="N9" s="14" t="s">
        <v>17</v>
      </c>
      <c r="O9" s="14" t="s">
        <v>17</v>
      </c>
      <c r="P9" s="14" t="s">
        <v>17</v>
      </c>
      <c r="Q9" s="14" t="s">
        <v>17</v>
      </c>
      <c r="R9" s="14">
        <f t="shared" si="13"/>
        <v>13.75</v>
      </c>
      <c r="S9" s="14">
        <v>0</v>
      </c>
      <c r="T9" s="17">
        <f t="shared" si="0"/>
        <v>0.39978229715025715</v>
      </c>
      <c r="U9" s="18">
        <f t="shared" si="1"/>
        <v>49.333137470906436</v>
      </c>
      <c r="V9" s="19">
        <v>1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5">
        <f t="shared" si="2"/>
        <v>171.01193948450387</v>
      </c>
      <c r="AC9" s="15">
        <f t="shared" si="3"/>
        <v>34.202387896900774</v>
      </c>
      <c r="AD9" s="15">
        <f t="shared" si="4"/>
        <v>39.406836773700597</v>
      </c>
      <c r="AE9" s="20">
        <f t="shared" si="5"/>
        <v>4.0701051876300438</v>
      </c>
      <c r="AF9" s="20">
        <f t="shared" si="6"/>
        <v>5.0849195997410028</v>
      </c>
      <c r="AG9" s="18">
        <f t="shared" si="7"/>
        <v>15.918645230345378</v>
      </c>
      <c r="AH9" s="18">
        <f t="shared" si="8"/>
        <v>5.7885982655801378</v>
      </c>
      <c r="AI9" s="20">
        <f t="shared" si="9"/>
        <v>9.1455855710989393</v>
      </c>
      <c r="AJ9" s="20">
        <f t="shared" si="10"/>
        <v>1.2417823107989576</v>
      </c>
      <c r="AK9" s="20">
        <f t="shared" si="14"/>
        <v>23.701010126776666</v>
      </c>
      <c r="AL9" s="21">
        <f t="shared" si="15"/>
        <v>1.2020216248974762</v>
      </c>
      <c r="AM9" s="21">
        <f t="shared" si="16"/>
        <v>0.35137840564062506</v>
      </c>
      <c r="AN9" s="22" t="s">
        <v>17</v>
      </c>
      <c r="AO9" s="22" t="s">
        <v>17</v>
      </c>
      <c r="AP9" s="22" t="s">
        <v>17</v>
      </c>
      <c r="AQ9" s="22" t="s">
        <v>17</v>
      </c>
      <c r="AR9" s="22" t="s">
        <v>17</v>
      </c>
      <c r="AS9" s="22" t="s">
        <v>17</v>
      </c>
      <c r="AT9" s="22" t="s">
        <v>17</v>
      </c>
      <c r="AU9" s="22" t="s">
        <v>17</v>
      </c>
    </row>
    <row r="10" spans="1:47" ht="15.75" x14ac:dyDescent="0.3">
      <c r="A10" s="12" t="s">
        <v>60</v>
      </c>
      <c r="B10" s="13">
        <v>117.6</v>
      </c>
      <c r="C10" s="13">
        <v>64</v>
      </c>
      <c r="D10" s="13">
        <v>3.8</v>
      </c>
      <c r="E10" s="13">
        <v>5.0999999999999996</v>
      </c>
      <c r="F10" s="13">
        <v>7</v>
      </c>
      <c r="G10" s="14" t="s">
        <v>17</v>
      </c>
      <c r="H10" s="15">
        <f t="shared" si="11"/>
        <v>8.6584083857966849</v>
      </c>
      <c r="I10" s="15">
        <f t="shared" si="12"/>
        <v>11.029819599741</v>
      </c>
      <c r="J10" s="16" t="s">
        <v>17</v>
      </c>
      <c r="K10" s="15">
        <f t="shared" si="17"/>
        <v>107.39999999999999</v>
      </c>
      <c r="L10" s="15">
        <f t="shared" si="18"/>
        <v>93.399999999999991</v>
      </c>
      <c r="M10" s="14" t="s">
        <v>17</v>
      </c>
      <c r="N10" s="14" t="s">
        <v>17</v>
      </c>
      <c r="O10" s="14" t="s">
        <v>17</v>
      </c>
      <c r="P10" s="14" t="s">
        <v>17</v>
      </c>
      <c r="Q10" s="14" t="s">
        <v>17</v>
      </c>
      <c r="R10" s="14">
        <f t="shared" si="13"/>
        <v>16</v>
      </c>
      <c r="S10" s="14">
        <v>0</v>
      </c>
      <c r="T10" s="17">
        <f t="shared" si="0"/>
        <v>0.47158229715025712</v>
      </c>
      <c r="U10" s="18">
        <f t="shared" si="1"/>
        <v>54.465240739146019</v>
      </c>
      <c r="V10" s="19">
        <v>1</v>
      </c>
      <c r="W10" s="19">
        <v>1</v>
      </c>
      <c r="X10" s="19">
        <v>1</v>
      </c>
      <c r="Y10" s="19">
        <v>1</v>
      </c>
      <c r="Z10" s="19">
        <v>1</v>
      </c>
      <c r="AA10" s="19">
        <v>2</v>
      </c>
      <c r="AB10" s="15">
        <f t="shared" si="2"/>
        <v>257.36153024128669</v>
      </c>
      <c r="AC10" s="15">
        <f t="shared" si="3"/>
        <v>43.768967728109985</v>
      </c>
      <c r="AD10" s="15">
        <f t="shared" si="4"/>
        <v>49.870982197457138</v>
      </c>
      <c r="AE10" s="20">
        <f t="shared" si="5"/>
        <v>4.8304502151087032</v>
      </c>
      <c r="AF10" s="20">
        <f t="shared" si="6"/>
        <v>5.4096195997410002</v>
      </c>
      <c r="AG10" s="18">
        <f t="shared" si="7"/>
        <v>22.389018570976308</v>
      </c>
      <c r="AH10" s="18">
        <f t="shared" si="8"/>
        <v>6.9965683034300961</v>
      </c>
      <c r="AI10" s="20">
        <f t="shared" si="9"/>
        <v>10.978198777102824</v>
      </c>
      <c r="AJ10" s="20">
        <f t="shared" si="10"/>
        <v>1.4247324750459505</v>
      </c>
      <c r="AK10" s="20">
        <f t="shared" si="14"/>
        <v>22.201010126776666</v>
      </c>
      <c r="AL10" s="21">
        <f t="shared" si="15"/>
        <v>1.0415521383677031</v>
      </c>
      <c r="AM10" s="21">
        <f t="shared" si="16"/>
        <v>0.70502399999999998</v>
      </c>
      <c r="AN10" s="22" t="s">
        <v>17</v>
      </c>
      <c r="AO10" s="22" t="s">
        <v>17</v>
      </c>
      <c r="AP10" s="22" t="s">
        <v>17</v>
      </c>
      <c r="AQ10" s="22" t="s">
        <v>17</v>
      </c>
      <c r="AR10" s="22" t="s">
        <v>17</v>
      </c>
      <c r="AS10" s="22" t="s">
        <v>17</v>
      </c>
      <c r="AT10" s="22" t="s">
        <v>17</v>
      </c>
      <c r="AU10" s="22" t="s">
        <v>17</v>
      </c>
    </row>
    <row r="11" spans="1:47" ht="15.75" x14ac:dyDescent="0.3">
      <c r="A11" s="12" t="s">
        <v>61</v>
      </c>
      <c r="B11" s="13">
        <v>120</v>
      </c>
      <c r="C11" s="13">
        <v>64</v>
      </c>
      <c r="D11" s="13">
        <v>4.4000000000000004</v>
      </c>
      <c r="E11" s="13">
        <v>6.3</v>
      </c>
      <c r="F11" s="13">
        <v>7</v>
      </c>
      <c r="G11" s="14" t="s">
        <v>17</v>
      </c>
      <c r="H11" s="15">
        <f t="shared" si="11"/>
        <v>10.370022385796688</v>
      </c>
      <c r="I11" s="15">
        <f t="shared" si="12"/>
        <v>13.210219599741002</v>
      </c>
      <c r="J11" s="16" t="s">
        <v>17</v>
      </c>
      <c r="K11" s="15">
        <f t="shared" si="17"/>
        <v>107.4</v>
      </c>
      <c r="L11" s="15">
        <f t="shared" si="18"/>
        <v>93.4</v>
      </c>
      <c r="M11" s="14" t="s">
        <v>17</v>
      </c>
      <c r="N11" s="14" t="s">
        <v>17</v>
      </c>
      <c r="O11" s="14" t="s">
        <v>17</v>
      </c>
      <c r="P11" s="14" t="s">
        <v>17</v>
      </c>
      <c r="Q11" s="14" t="s">
        <v>17</v>
      </c>
      <c r="R11" s="14">
        <f t="shared" si="13"/>
        <v>16</v>
      </c>
      <c r="S11" s="14">
        <v>0</v>
      </c>
      <c r="T11" s="17">
        <f t="shared" si="0"/>
        <v>0.47518229715025712</v>
      </c>
      <c r="U11" s="18">
        <f t="shared" si="1"/>
        <v>45.822687692660246</v>
      </c>
      <c r="V11" s="19">
        <v>1</v>
      </c>
      <c r="W11" s="19">
        <v>1</v>
      </c>
      <c r="X11" s="19">
        <v>1</v>
      </c>
      <c r="Y11" s="19">
        <v>1</v>
      </c>
      <c r="Z11" s="19">
        <v>1</v>
      </c>
      <c r="AA11" s="19">
        <v>1</v>
      </c>
      <c r="AB11" s="15">
        <f t="shared" si="2"/>
        <v>317.75314916128644</v>
      </c>
      <c r="AC11" s="15">
        <f t="shared" si="3"/>
        <v>52.958858193547741</v>
      </c>
      <c r="AD11" s="15">
        <f t="shared" si="4"/>
        <v>60.725036197457143</v>
      </c>
      <c r="AE11" s="20">
        <f t="shared" si="5"/>
        <v>4.9044455030782537</v>
      </c>
      <c r="AF11" s="20">
        <f t="shared" si="6"/>
        <v>6.3054195997410023</v>
      </c>
      <c r="AG11" s="18">
        <f t="shared" si="7"/>
        <v>27.668147943581111</v>
      </c>
      <c r="AH11" s="18">
        <f t="shared" si="8"/>
        <v>8.6462962323690959</v>
      </c>
      <c r="AI11" s="20">
        <f t="shared" si="9"/>
        <v>13.580519365095055</v>
      </c>
      <c r="AJ11" s="20">
        <f t="shared" si="10"/>
        <v>1.4472215674063829</v>
      </c>
      <c r="AK11" s="20">
        <f t="shared" si="14"/>
        <v>25.201010126776666</v>
      </c>
      <c r="AL11" s="21">
        <f t="shared" si="15"/>
        <v>1.7354644230378269</v>
      </c>
      <c r="AM11" s="21">
        <f t="shared" si="16"/>
        <v>0.88959054643200008</v>
      </c>
      <c r="AN11" s="22" t="s">
        <v>17</v>
      </c>
      <c r="AO11" s="22" t="s">
        <v>17</v>
      </c>
      <c r="AP11" s="22" t="s">
        <v>17</v>
      </c>
      <c r="AQ11" s="22" t="s">
        <v>17</v>
      </c>
      <c r="AR11" s="22" t="s">
        <v>17</v>
      </c>
      <c r="AS11" s="22" t="s">
        <v>17</v>
      </c>
      <c r="AT11" s="22" t="s">
        <v>17</v>
      </c>
      <c r="AU11" s="22" t="s">
        <v>17</v>
      </c>
    </row>
    <row r="12" spans="1:47" ht="15.75" x14ac:dyDescent="0.3">
      <c r="A12" s="12" t="s">
        <v>62</v>
      </c>
      <c r="B12" s="13">
        <v>137.4</v>
      </c>
      <c r="C12" s="13">
        <v>73</v>
      </c>
      <c r="D12" s="13">
        <v>3.8</v>
      </c>
      <c r="E12" s="13">
        <v>5.6</v>
      </c>
      <c r="F12" s="13">
        <v>7</v>
      </c>
      <c r="G12" s="14" t="s">
        <v>17</v>
      </c>
      <c r="H12" s="15">
        <f t="shared" si="11"/>
        <v>10.512892385796684</v>
      </c>
      <c r="I12" s="15">
        <f t="shared" si="12"/>
        <v>13.392219599740999</v>
      </c>
      <c r="J12" s="16" t="s">
        <v>17</v>
      </c>
      <c r="K12" s="15">
        <f t="shared" si="17"/>
        <v>126.2</v>
      </c>
      <c r="L12" s="15">
        <f t="shared" si="18"/>
        <v>112.2</v>
      </c>
      <c r="M12" s="14" t="s">
        <v>17</v>
      </c>
      <c r="N12" s="14" t="s">
        <v>17</v>
      </c>
      <c r="O12" s="14" t="s">
        <v>17</v>
      </c>
      <c r="P12" s="14" t="s">
        <v>17</v>
      </c>
      <c r="Q12" s="14" t="s">
        <v>17</v>
      </c>
      <c r="R12" s="14">
        <f t="shared" si="13"/>
        <v>18.25</v>
      </c>
      <c r="S12" s="14">
        <v>0</v>
      </c>
      <c r="T12" s="17">
        <f t="shared" si="0"/>
        <v>0.54718229715025712</v>
      </c>
      <c r="U12" s="18">
        <f t="shared" si="1"/>
        <v>52.048691936533196</v>
      </c>
      <c r="V12" s="19">
        <v>1</v>
      </c>
      <c r="W12" s="19">
        <v>1</v>
      </c>
      <c r="X12" s="19">
        <v>1</v>
      </c>
      <c r="Y12" s="19">
        <v>1</v>
      </c>
      <c r="Z12" s="19">
        <v>2</v>
      </c>
      <c r="AA12" s="19">
        <v>3</v>
      </c>
      <c r="AB12" s="15">
        <f t="shared" si="2"/>
        <v>434.8638603066031</v>
      </c>
      <c r="AC12" s="15">
        <f t="shared" si="3"/>
        <v>63.298960743319228</v>
      </c>
      <c r="AD12" s="15">
        <f t="shared" si="4"/>
        <v>71.598300621213696</v>
      </c>
      <c r="AE12" s="20">
        <f t="shared" si="5"/>
        <v>5.6983664891921544</v>
      </c>
      <c r="AF12" s="20">
        <f t="shared" si="6"/>
        <v>6.2130195997409992</v>
      </c>
      <c r="AG12" s="18">
        <f t="shared" si="7"/>
        <v>36.423628517642975</v>
      </c>
      <c r="AH12" s="18">
        <f t="shared" si="8"/>
        <v>9.9790763062035541</v>
      </c>
      <c r="AI12" s="20">
        <f t="shared" si="9"/>
        <v>15.522466777102823</v>
      </c>
      <c r="AJ12" s="20">
        <f t="shared" si="10"/>
        <v>1.6491696088238312</v>
      </c>
      <c r="AK12" s="20">
        <f t="shared" si="14"/>
        <v>23.201010126776666</v>
      </c>
      <c r="AL12" s="21">
        <f t="shared" si="15"/>
        <v>1.360806515994859</v>
      </c>
      <c r="AM12" s="21">
        <f t="shared" si="16"/>
        <v>1.5767984565853335</v>
      </c>
      <c r="AN12" s="22" t="s">
        <v>17</v>
      </c>
      <c r="AO12" s="22" t="s">
        <v>17</v>
      </c>
      <c r="AP12" s="22" t="s">
        <v>17</v>
      </c>
      <c r="AQ12" s="22" t="s">
        <v>17</v>
      </c>
      <c r="AR12" s="22" t="s">
        <v>17</v>
      </c>
      <c r="AS12" s="22" t="s">
        <v>17</v>
      </c>
      <c r="AT12" s="22" t="s">
        <v>17</v>
      </c>
      <c r="AU12" s="22" t="s">
        <v>17</v>
      </c>
    </row>
    <row r="13" spans="1:47" ht="15.75" x14ac:dyDescent="0.3">
      <c r="A13" s="12" t="s">
        <v>63</v>
      </c>
      <c r="B13" s="13">
        <v>140</v>
      </c>
      <c r="C13" s="13">
        <v>73</v>
      </c>
      <c r="D13" s="13">
        <v>4.7</v>
      </c>
      <c r="E13" s="13">
        <v>6.9</v>
      </c>
      <c r="F13" s="13">
        <v>7</v>
      </c>
      <c r="G13" s="14" t="s">
        <v>17</v>
      </c>
      <c r="H13" s="15">
        <f t="shared" si="11"/>
        <v>12.894425385796685</v>
      </c>
      <c r="I13" s="15">
        <f t="shared" si="12"/>
        <v>16.426019599741</v>
      </c>
      <c r="J13" s="16" t="s">
        <v>17</v>
      </c>
      <c r="K13" s="15">
        <f t="shared" si="17"/>
        <v>126.2</v>
      </c>
      <c r="L13" s="15">
        <f t="shared" si="18"/>
        <v>112.2</v>
      </c>
      <c r="M13" s="14" t="s">
        <v>17</v>
      </c>
      <c r="N13" s="14" t="s">
        <v>17</v>
      </c>
      <c r="O13" s="14" t="s">
        <v>17</v>
      </c>
      <c r="P13" s="14" t="s">
        <v>17</v>
      </c>
      <c r="Q13" s="14" t="s">
        <v>17</v>
      </c>
      <c r="R13" s="14">
        <f t="shared" si="13"/>
        <v>18.25</v>
      </c>
      <c r="S13" s="14">
        <v>0</v>
      </c>
      <c r="T13" s="17">
        <f t="shared" si="0"/>
        <v>0.55058229715025708</v>
      </c>
      <c r="U13" s="18">
        <f t="shared" si="1"/>
        <v>42.699250309884142</v>
      </c>
      <c r="V13" s="19">
        <v>1</v>
      </c>
      <c r="W13" s="19">
        <v>1</v>
      </c>
      <c r="X13" s="19">
        <v>1</v>
      </c>
      <c r="Y13" s="19">
        <v>1</v>
      </c>
      <c r="Z13" s="19">
        <v>1</v>
      </c>
      <c r="AA13" s="19">
        <v>2</v>
      </c>
      <c r="AB13" s="15">
        <f t="shared" si="2"/>
        <v>541.22374783326973</v>
      </c>
      <c r="AC13" s="15">
        <f t="shared" si="3"/>
        <v>77.317678261895679</v>
      </c>
      <c r="AD13" s="15">
        <f t="shared" si="4"/>
        <v>88.34437962121369</v>
      </c>
      <c r="AE13" s="20">
        <f t="shared" si="5"/>
        <v>5.7401369468326582</v>
      </c>
      <c r="AF13" s="20">
        <f t="shared" si="6"/>
        <v>7.6423195997409987</v>
      </c>
      <c r="AG13" s="18">
        <f t="shared" si="7"/>
        <v>44.917774434016856</v>
      </c>
      <c r="AH13" s="18">
        <f t="shared" si="8"/>
        <v>12.306239570963523</v>
      </c>
      <c r="AI13" s="20">
        <f t="shared" si="9"/>
        <v>19.246602159091168</v>
      </c>
      <c r="AJ13" s="20">
        <f t="shared" si="10"/>
        <v>1.6536475303048299</v>
      </c>
      <c r="AK13" s="20">
        <f t="shared" si="14"/>
        <v>26.701010126776666</v>
      </c>
      <c r="AL13" s="21">
        <f t="shared" si="15"/>
        <v>2.4468369388121576</v>
      </c>
      <c r="AM13" s="21">
        <f t="shared" si="16"/>
        <v>1.9813561184188748</v>
      </c>
      <c r="AN13" s="22" t="s">
        <v>17</v>
      </c>
      <c r="AO13" s="22" t="s">
        <v>17</v>
      </c>
      <c r="AP13" s="22" t="s">
        <v>17</v>
      </c>
      <c r="AQ13" s="22" t="s">
        <v>17</v>
      </c>
      <c r="AR13" s="22" t="s">
        <v>17</v>
      </c>
      <c r="AS13" s="22" t="s">
        <v>17</v>
      </c>
      <c r="AT13" s="22" t="s">
        <v>17</v>
      </c>
      <c r="AU13" s="22" t="s">
        <v>17</v>
      </c>
    </row>
    <row r="14" spans="1:47" ht="15.75" x14ac:dyDescent="0.3">
      <c r="A14" s="12" t="s">
        <v>64</v>
      </c>
      <c r="B14" s="13">
        <v>157</v>
      </c>
      <c r="C14" s="13">
        <v>82</v>
      </c>
      <c r="D14" s="13">
        <v>4</v>
      </c>
      <c r="E14" s="13">
        <v>5.9</v>
      </c>
      <c r="F14" s="13">
        <v>9</v>
      </c>
      <c r="G14" s="14" t="s">
        <v>17</v>
      </c>
      <c r="H14" s="15">
        <f t="shared" si="11"/>
        <v>12.700758311214932</v>
      </c>
      <c r="I14" s="15">
        <f t="shared" si="12"/>
        <v>16.17930995059227</v>
      </c>
      <c r="J14" s="16" t="s">
        <v>17</v>
      </c>
      <c r="K14" s="15">
        <f t="shared" si="17"/>
        <v>145.19999999999999</v>
      </c>
      <c r="L14" s="15">
        <f t="shared" si="18"/>
        <v>127.19999999999999</v>
      </c>
      <c r="M14" s="14" t="s">
        <v>17</v>
      </c>
      <c r="N14" s="14" t="s">
        <v>17</v>
      </c>
      <c r="O14" s="14" t="s">
        <v>17</v>
      </c>
      <c r="P14" s="14" t="s">
        <v>17</v>
      </c>
      <c r="Q14" s="14" t="s">
        <v>17</v>
      </c>
      <c r="R14" s="14">
        <f t="shared" si="13"/>
        <v>20.5</v>
      </c>
      <c r="S14" s="14">
        <v>0</v>
      </c>
      <c r="T14" s="17">
        <f t="shared" si="0"/>
        <v>0.61854866776461637</v>
      </c>
      <c r="U14" s="18">
        <f t="shared" si="1"/>
        <v>48.701711552012604</v>
      </c>
      <c r="V14" s="19">
        <v>1</v>
      </c>
      <c r="W14" s="19">
        <v>1</v>
      </c>
      <c r="X14" s="19">
        <v>1</v>
      </c>
      <c r="Y14" s="19">
        <v>1</v>
      </c>
      <c r="Z14" s="19">
        <v>3</v>
      </c>
      <c r="AA14" s="19">
        <v>4</v>
      </c>
      <c r="AB14" s="15">
        <f t="shared" si="2"/>
        <v>689.27529961494861</v>
      </c>
      <c r="AC14" s="15">
        <f t="shared" si="3"/>
        <v>87.805770651585817</v>
      </c>
      <c r="AD14" s="15">
        <f t="shared" si="4"/>
        <v>99.093391285766813</v>
      </c>
      <c r="AE14" s="20">
        <f t="shared" si="5"/>
        <v>6.5270412948420367</v>
      </c>
      <c r="AF14" s="20">
        <f t="shared" si="6"/>
        <v>7.8013099505922696</v>
      </c>
      <c r="AG14" s="18">
        <f t="shared" si="7"/>
        <v>54.4268153723689</v>
      </c>
      <c r="AH14" s="18">
        <f t="shared" si="8"/>
        <v>13.274833017650952</v>
      </c>
      <c r="AI14" s="20">
        <f t="shared" si="9"/>
        <v>20.695440945651498</v>
      </c>
      <c r="AJ14" s="20">
        <f t="shared" si="10"/>
        <v>1.8341145845233409</v>
      </c>
      <c r="AK14" s="20">
        <f t="shared" si="14"/>
        <v>26.344155877284287</v>
      </c>
      <c r="AL14" s="21">
        <f t="shared" si="15"/>
        <v>1.9643346581545542</v>
      </c>
      <c r="AM14" s="21">
        <f t="shared" si="16"/>
        <v>3.0946479880063333</v>
      </c>
      <c r="AN14" s="22" t="s">
        <v>17</v>
      </c>
      <c r="AO14" s="22" t="s">
        <v>17</v>
      </c>
      <c r="AP14" s="22" t="s">
        <v>17</v>
      </c>
      <c r="AQ14" s="22" t="s">
        <v>17</v>
      </c>
      <c r="AR14" s="22" t="s">
        <v>17</v>
      </c>
      <c r="AS14" s="22" t="s">
        <v>17</v>
      </c>
      <c r="AT14" s="22" t="s">
        <v>17</v>
      </c>
      <c r="AU14" s="22" t="s">
        <v>17</v>
      </c>
    </row>
    <row r="15" spans="1:47" ht="15.75" x14ac:dyDescent="0.3">
      <c r="A15" s="12" t="s">
        <v>65</v>
      </c>
      <c r="B15" s="13">
        <v>160</v>
      </c>
      <c r="C15" s="13">
        <v>82</v>
      </c>
      <c r="D15" s="13">
        <v>5</v>
      </c>
      <c r="E15" s="13">
        <v>7.4</v>
      </c>
      <c r="F15" s="13">
        <v>9</v>
      </c>
      <c r="G15" s="14" t="s">
        <v>17</v>
      </c>
      <c r="H15" s="15">
        <f t="shared" si="11"/>
        <v>15.771678311214931</v>
      </c>
      <c r="I15" s="15">
        <f t="shared" si="12"/>
        <v>20.091309950592269</v>
      </c>
      <c r="J15" s="16" t="s">
        <v>17</v>
      </c>
      <c r="K15" s="15">
        <f t="shared" si="17"/>
        <v>145.19999999999999</v>
      </c>
      <c r="L15" s="15">
        <f t="shared" si="18"/>
        <v>127.19999999999999</v>
      </c>
      <c r="M15" s="14" t="s">
        <v>17</v>
      </c>
      <c r="N15" s="14" t="s">
        <v>17</v>
      </c>
      <c r="O15" s="14" t="s">
        <v>17</v>
      </c>
      <c r="P15" s="14" t="s">
        <v>17</v>
      </c>
      <c r="Q15" s="14" t="s">
        <v>17</v>
      </c>
      <c r="R15" s="14">
        <f t="shared" si="13"/>
        <v>20.5</v>
      </c>
      <c r="S15" s="14">
        <v>0</v>
      </c>
      <c r="T15" s="17">
        <f t="shared" si="0"/>
        <v>0.62254866776461626</v>
      </c>
      <c r="U15" s="18">
        <f t="shared" si="1"/>
        <v>39.472569467888157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2</v>
      </c>
      <c r="AB15" s="15">
        <f t="shared" si="2"/>
        <v>869.29222801494859</v>
      </c>
      <c r="AC15" s="15">
        <f t="shared" si="3"/>
        <v>108.66152850186857</v>
      </c>
      <c r="AD15" s="15">
        <f t="shared" si="4"/>
        <v>123.85965128576683</v>
      </c>
      <c r="AE15" s="20">
        <f t="shared" si="5"/>
        <v>6.5777713302946159</v>
      </c>
      <c r="AF15" s="20">
        <f t="shared" si="6"/>
        <v>9.6573099505922677</v>
      </c>
      <c r="AG15" s="18">
        <f t="shared" si="7"/>
        <v>68.314449494592907</v>
      </c>
      <c r="AH15" s="18">
        <f t="shared" si="8"/>
        <v>16.662060852339735</v>
      </c>
      <c r="AI15" s="20">
        <f t="shared" si="9"/>
        <v>26.099906443181112</v>
      </c>
      <c r="AJ15" s="20">
        <f t="shared" si="10"/>
        <v>1.8439628182707171</v>
      </c>
      <c r="AK15" s="20">
        <f t="shared" si="14"/>
        <v>30.344155877284287</v>
      </c>
      <c r="AL15" s="21">
        <f t="shared" si="15"/>
        <v>3.6043373843292268</v>
      </c>
      <c r="AM15" s="21">
        <f t="shared" si="16"/>
        <v>3.9588687387013337</v>
      </c>
      <c r="AN15" s="22" t="s">
        <v>17</v>
      </c>
      <c r="AO15" s="22" t="s">
        <v>17</v>
      </c>
      <c r="AP15" s="22" t="s">
        <v>17</v>
      </c>
      <c r="AQ15" s="22" t="s">
        <v>17</v>
      </c>
      <c r="AR15" s="22" t="s">
        <v>17</v>
      </c>
      <c r="AS15" s="22" t="s">
        <v>17</v>
      </c>
      <c r="AT15" s="22" t="s">
        <v>17</v>
      </c>
      <c r="AU15" s="22" t="s">
        <v>17</v>
      </c>
    </row>
    <row r="16" spans="1:47" ht="15.75" x14ac:dyDescent="0.3">
      <c r="A16" s="12" t="s">
        <v>66</v>
      </c>
      <c r="B16" s="13">
        <v>177</v>
      </c>
      <c r="C16" s="13">
        <v>91</v>
      </c>
      <c r="D16" s="13">
        <v>4.3</v>
      </c>
      <c r="E16" s="13">
        <v>6.5</v>
      </c>
      <c r="F16" s="13">
        <v>9</v>
      </c>
      <c r="G16" s="14" t="s">
        <v>17</v>
      </c>
      <c r="H16" s="15">
        <f t="shared" si="11"/>
        <v>15.368188311214929</v>
      </c>
      <c r="I16" s="15">
        <f t="shared" si="12"/>
        <v>19.577309950592266</v>
      </c>
      <c r="J16" s="16" t="s">
        <v>17</v>
      </c>
      <c r="K16" s="15">
        <f t="shared" si="17"/>
        <v>164</v>
      </c>
      <c r="L16" s="15">
        <f t="shared" si="18"/>
        <v>146</v>
      </c>
      <c r="M16" s="14" t="s">
        <v>67</v>
      </c>
      <c r="N16" s="14">
        <v>54</v>
      </c>
      <c r="O16" s="14">
        <v>58</v>
      </c>
      <c r="P16" s="14" t="s">
        <v>17</v>
      </c>
      <c r="Q16" s="14" t="s">
        <v>17</v>
      </c>
      <c r="R16" s="14">
        <f t="shared" si="13"/>
        <v>22.75</v>
      </c>
      <c r="S16" s="14">
        <v>0</v>
      </c>
      <c r="T16" s="17">
        <f t="shared" si="0"/>
        <v>0.69394866776461628</v>
      </c>
      <c r="U16" s="18">
        <f t="shared" si="1"/>
        <v>45.15487796685882</v>
      </c>
      <c r="V16" s="19">
        <v>1</v>
      </c>
      <c r="W16" s="19">
        <v>1</v>
      </c>
      <c r="X16" s="19">
        <v>1</v>
      </c>
      <c r="Y16" s="19">
        <v>2</v>
      </c>
      <c r="Z16" s="19">
        <v>3</v>
      </c>
      <c r="AA16" s="19">
        <v>4</v>
      </c>
      <c r="AB16" s="15">
        <f t="shared" si="2"/>
        <v>1062.7353324254036</v>
      </c>
      <c r="AC16" s="15">
        <f t="shared" si="3"/>
        <v>120.08308840965013</v>
      </c>
      <c r="AD16" s="15">
        <f t="shared" si="4"/>
        <v>135.32571263932354</v>
      </c>
      <c r="AE16" s="20">
        <f t="shared" si="5"/>
        <v>7.3677698554767552</v>
      </c>
      <c r="AF16" s="20">
        <f t="shared" si="6"/>
        <v>9.1968099505922662</v>
      </c>
      <c r="AG16" s="18">
        <f t="shared" si="7"/>
        <v>81.885562141102767</v>
      </c>
      <c r="AH16" s="18">
        <f t="shared" si="8"/>
        <v>17.996826844198409</v>
      </c>
      <c r="AI16" s="20">
        <f t="shared" si="9"/>
        <v>27.960610594910381</v>
      </c>
      <c r="AJ16" s="20">
        <f t="shared" si="10"/>
        <v>2.0451593831242949</v>
      </c>
      <c r="AK16" s="20">
        <f t="shared" si="14"/>
        <v>27.844155877284287</v>
      </c>
      <c r="AL16" s="21">
        <f t="shared" si="15"/>
        <v>2.6988111955839216</v>
      </c>
      <c r="AM16" s="21">
        <f t="shared" si="16"/>
        <v>5.9330097024114581</v>
      </c>
      <c r="AN16" s="22" t="s">
        <v>17</v>
      </c>
      <c r="AO16" s="22" t="s">
        <v>17</v>
      </c>
      <c r="AP16" s="22" t="s">
        <v>17</v>
      </c>
      <c r="AQ16" s="22" t="s">
        <v>17</v>
      </c>
      <c r="AR16" s="22" t="s">
        <v>17</v>
      </c>
      <c r="AS16" s="22" t="s">
        <v>17</v>
      </c>
      <c r="AT16" s="22" t="s">
        <v>17</v>
      </c>
      <c r="AU16" s="22" t="s">
        <v>17</v>
      </c>
    </row>
    <row r="17" spans="1:47" ht="15.75" x14ac:dyDescent="0.3">
      <c r="A17" s="12" t="s">
        <v>68</v>
      </c>
      <c r="B17" s="13">
        <v>180</v>
      </c>
      <c r="C17" s="13">
        <v>91</v>
      </c>
      <c r="D17" s="13">
        <v>5.3</v>
      </c>
      <c r="E17" s="13">
        <v>8</v>
      </c>
      <c r="F17" s="13">
        <v>9</v>
      </c>
      <c r="G17" s="14" t="s">
        <v>17</v>
      </c>
      <c r="H17" s="15">
        <f t="shared" si="11"/>
        <v>18.79863831121493</v>
      </c>
      <c r="I17" s="15">
        <f t="shared" si="12"/>
        <v>23.947309950592267</v>
      </c>
      <c r="J17" s="16" t="s">
        <v>17</v>
      </c>
      <c r="K17" s="15">
        <f t="shared" si="17"/>
        <v>164</v>
      </c>
      <c r="L17" s="15">
        <f t="shared" si="18"/>
        <v>146</v>
      </c>
      <c r="M17" s="14" t="s">
        <v>67</v>
      </c>
      <c r="N17" s="14">
        <v>55</v>
      </c>
      <c r="O17" s="14">
        <v>58</v>
      </c>
      <c r="P17" s="14" t="s">
        <v>17</v>
      </c>
      <c r="Q17" s="14" t="s">
        <v>17</v>
      </c>
      <c r="R17" s="14">
        <f t="shared" si="13"/>
        <v>22.75</v>
      </c>
      <c r="S17" s="14">
        <v>0</v>
      </c>
      <c r="T17" s="17">
        <f t="shared" si="0"/>
        <v>0.69794866776461628</v>
      </c>
      <c r="U17" s="18">
        <f t="shared" si="1"/>
        <v>37.127618299259083</v>
      </c>
      <c r="V17" s="19">
        <v>1</v>
      </c>
      <c r="W17" s="19">
        <v>1</v>
      </c>
      <c r="X17" s="19">
        <v>1</v>
      </c>
      <c r="Y17" s="19">
        <v>1</v>
      </c>
      <c r="Z17" s="19">
        <v>2</v>
      </c>
      <c r="AA17" s="19">
        <v>3</v>
      </c>
      <c r="AB17" s="15">
        <f t="shared" si="2"/>
        <v>1316.9581740920703</v>
      </c>
      <c r="AC17" s="15">
        <f t="shared" si="3"/>
        <v>146.32868601023003</v>
      </c>
      <c r="AD17" s="15">
        <f t="shared" si="4"/>
        <v>166.41496263932356</v>
      </c>
      <c r="AE17" s="20">
        <f t="shared" si="5"/>
        <v>7.4157934230842315</v>
      </c>
      <c r="AF17" s="20">
        <f t="shared" si="6"/>
        <v>11.251309950592267</v>
      </c>
      <c r="AG17" s="18">
        <f t="shared" si="7"/>
        <v>100.85030988599344</v>
      </c>
      <c r="AH17" s="18">
        <f t="shared" si="8"/>
        <v>22.16490327164691</v>
      </c>
      <c r="AI17" s="20">
        <f t="shared" si="9"/>
        <v>34.599726092439987</v>
      </c>
      <c r="AJ17" s="20">
        <f t="shared" si="10"/>
        <v>2.0521554288417767</v>
      </c>
      <c r="AK17" s="20">
        <f t="shared" si="14"/>
        <v>31.844155877284287</v>
      </c>
      <c r="AL17" s="21">
        <f t="shared" si="15"/>
        <v>4.7901154689011349</v>
      </c>
      <c r="AM17" s="21">
        <f t="shared" si="16"/>
        <v>7.4312148213333344</v>
      </c>
      <c r="AN17" s="22" t="s">
        <v>17</v>
      </c>
      <c r="AO17" s="22" t="s">
        <v>17</v>
      </c>
      <c r="AP17" s="22" t="s">
        <v>17</v>
      </c>
      <c r="AQ17" s="22" t="s">
        <v>17</v>
      </c>
      <c r="AR17" s="22" t="s">
        <v>17</v>
      </c>
      <c r="AS17" s="22" t="s">
        <v>17</v>
      </c>
      <c r="AT17" s="22" t="s">
        <v>17</v>
      </c>
      <c r="AU17" s="22" t="s">
        <v>17</v>
      </c>
    </row>
    <row r="18" spans="1:47" ht="15.75" x14ac:dyDescent="0.3">
      <c r="A18" s="12" t="s">
        <v>69</v>
      </c>
      <c r="B18" s="13">
        <v>182</v>
      </c>
      <c r="C18" s="13">
        <v>92</v>
      </c>
      <c r="D18" s="13">
        <v>6</v>
      </c>
      <c r="E18" s="13">
        <v>9</v>
      </c>
      <c r="F18" s="13">
        <v>9</v>
      </c>
      <c r="G18" s="14" t="s">
        <v>17</v>
      </c>
      <c r="H18" s="15">
        <f t="shared" si="11"/>
        <v>21.26981831121493</v>
      </c>
      <c r="I18" s="15">
        <f t="shared" si="12"/>
        <v>27.095309950592267</v>
      </c>
      <c r="J18" s="16" t="s">
        <v>17</v>
      </c>
      <c r="K18" s="15">
        <f t="shared" si="17"/>
        <v>164</v>
      </c>
      <c r="L18" s="15">
        <f t="shared" si="18"/>
        <v>146</v>
      </c>
      <c r="M18" s="14" t="s">
        <v>67</v>
      </c>
      <c r="N18" s="14">
        <v>56</v>
      </c>
      <c r="O18" s="14">
        <v>59</v>
      </c>
      <c r="P18" s="14" t="s">
        <v>17</v>
      </c>
      <c r="Q18" s="14" t="s">
        <v>17</v>
      </c>
      <c r="R18" s="14">
        <f t="shared" si="13"/>
        <v>23</v>
      </c>
      <c r="S18" s="14">
        <v>0</v>
      </c>
      <c r="T18" s="17">
        <f t="shared" si="0"/>
        <v>0.70454866776461633</v>
      </c>
      <c r="U18" s="18">
        <f t="shared" si="1"/>
        <v>33.124338791043137</v>
      </c>
      <c r="V18" s="19">
        <v>1</v>
      </c>
      <c r="W18" s="19">
        <v>1</v>
      </c>
      <c r="X18" s="19">
        <v>1</v>
      </c>
      <c r="Y18" s="19">
        <v>1</v>
      </c>
      <c r="Z18" s="19">
        <v>1</v>
      </c>
      <c r="AA18" s="19">
        <v>2</v>
      </c>
      <c r="AB18" s="15">
        <f t="shared" si="2"/>
        <v>1505.2329474254036</v>
      </c>
      <c r="AC18" s="15">
        <f t="shared" si="3"/>
        <v>165.41021400279161</v>
      </c>
      <c r="AD18" s="15">
        <f t="shared" si="4"/>
        <v>189.14976263932354</v>
      </c>
      <c r="AE18" s="20">
        <f t="shared" si="5"/>
        <v>7.4534063016592844</v>
      </c>
      <c r="AF18" s="20">
        <f t="shared" si="6"/>
        <v>12.695309950592266</v>
      </c>
      <c r="AG18" s="18">
        <f t="shared" si="7"/>
        <v>117.29264680348358</v>
      </c>
      <c r="AH18" s="18">
        <f t="shared" si="8"/>
        <v>25.49840147901817</v>
      </c>
      <c r="AI18" s="20">
        <f t="shared" si="9"/>
        <v>39.91237194071072</v>
      </c>
      <c r="AJ18" s="20">
        <f t="shared" si="10"/>
        <v>2.0805987422083994</v>
      </c>
      <c r="AK18" s="20">
        <f t="shared" si="14"/>
        <v>34.54415587728429</v>
      </c>
      <c r="AL18" s="21">
        <f t="shared" si="15"/>
        <v>6.7552137119341573</v>
      </c>
      <c r="AM18" s="21">
        <f t="shared" si="16"/>
        <v>8.7395074320000017</v>
      </c>
      <c r="AN18" s="22" t="s">
        <v>17</v>
      </c>
      <c r="AO18" s="22" t="s">
        <v>17</v>
      </c>
      <c r="AP18" s="22" t="s">
        <v>17</v>
      </c>
      <c r="AQ18" s="22" t="s">
        <v>17</v>
      </c>
      <c r="AR18" s="22" t="s">
        <v>17</v>
      </c>
      <c r="AS18" s="22" t="s">
        <v>17</v>
      </c>
      <c r="AT18" s="22" t="s">
        <v>17</v>
      </c>
      <c r="AU18" s="22" t="s">
        <v>17</v>
      </c>
    </row>
    <row r="19" spans="1:47" ht="15.75" x14ac:dyDescent="0.3">
      <c r="A19" s="12" t="s">
        <v>70</v>
      </c>
      <c r="B19" s="13">
        <v>197</v>
      </c>
      <c r="C19" s="13">
        <v>100</v>
      </c>
      <c r="D19" s="13">
        <v>4.5</v>
      </c>
      <c r="E19" s="13">
        <v>7</v>
      </c>
      <c r="F19" s="13">
        <v>12</v>
      </c>
      <c r="G19" s="14" t="s">
        <v>17</v>
      </c>
      <c r="H19" s="15">
        <f t="shared" si="11"/>
        <v>18.424818664382101</v>
      </c>
      <c r="I19" s="15">
        <f t="shared" si="12"/>
        <v>23.4711065788307</v>
      </c>
      <c r="J19" s="16" t="s">
        <v>17</v>
      </c>
      <c r="K19" s="15">
        <f t="shared" si="17"/>
        <v>183</v>
      </c>
      <c r="L19" s="15">
        <f t="shared" si="18"/>
        <v>159</v>
      </c>
      <c r="M19" s="14" t="s">
        <v>67</v>
      </c>
      <c r="N19" s="14">
        <v>55</v>
      </c>
      <c r="O19" s="14">
        <v>67</v>
      </c>
      <c r="P19" s="14" t="s">
        <v>17</v>
      </c>
      <c r="Q19" s="14" t="s">
        <v>17</v>
      </c>
      <c r="R19" s="14">
        <f t="shared" si="13"/>
        <v>25</v>
      </c>
      <c r="S19" s="14">
        <v>0</v>
      </c>
      <c r="T19" s="17">
        <f t="shared" si="0"/>
        <v>0.76439822368615495</v>
      </c>
      <c r="U19" s="18">
        <f t="shared" si="1"/>
        <v>41.487421809141047</v>
      </c>
      <c r="V19" s="19">
        <v>1</v>
      </c>
      <c r="W19" s="19">
        <v>1</v>
      </c>
      <c r="X19" s="19">
        <v>1</v>
      </c>
      <c r="Y19" s="19">
        <v>2</v>
      </c>
      <c r="Z19" s="19">
        <v>4</v>
      </c>
      <c r="AA19" s="19">
        <v>4</v>
      </c>
      <c r="AB19" s="15">
        <f t="shared" si="2"/>
        <v>1591.4659000305342</v>
      </c>
      <c r="AC19" s="15">
        <f t="shared" si="3"/>
        <v>161.57014213507961</v>
      </c>
      <c r="AD19" s="15">
        <f t="shared" si="4"/>
        <v>181.65417230170402</v>
      </c>
      <c r="AE19" s="20">
        <f t="shared" si="5"/>
        <v>8.2343986014773645</v>
      </c>
      <c r="AF19" s="20">
        <f t="shared" si="6"/>
        <v>11.466106578830699</v>
      </c>
      <c r="AG19" s="18">
        <f t="shared" si="7"/>
        <v>117.16836969953417</v>
      </c>
      <c r="AH19" s="18">
        <f t="shared" si="8"/>
        <v>23.433673939906832</v>
      </c>
      <c r="AI19" s="20">
        <f t="shared" si="9"/>
        <v>36.535889374833744</v>
      </c>
      <c r="AJ19" s="20">
        <f t="shared" si="10"/>
        <v>2.2342841816581975</v>
      </c>
      <c r="AK19" s="20">
        <f t="shared" si="14"/>
        <v>32.558874503045715</v>
      </c>
      <c r="AL19" s="21">
        <f t="shared" si="15"/>
        <v>4.1132920908841459</v>
      </c>
      <c r="AM19" s="21">
        <f t="shared" si="16"/>
        <v>10.529166666666669</v>
      </c>
      <c r="AN19" s="22" t="s">
        <v>17</v>
      </c>
      <c r="AO19" s="22" t="s">
        <v>17</v>
      </c>
      <c r="AP19" s="22" t="s">
        <v>17</v>
      </c>
      <c r="AQ19" s="22" t="s">
        <v>17</v>
      </c>
      <c r="AR19" s="22" t="s">
        <v>17</v>
      </c>
      <c r="AS19" s="22" t="s">
        <v>17</v>
      </c>
      <c r="AT19" s="22" t="s">
        <v>17</v>
      </c>
      <c r="AU19" s="22" t="s">
        <v>17</v>
      </c>
    </row>
    <row r="20" spans="1:47" ht="15.75" x14ac:dyDescent="0.3">
      <c r="A20" s="12" t="s">
        <v>71</v>
      </c>
      <c r="B20" s="13">
        <v>200</v>
      </c>
      <c r="C20" s="13">
        <v>100</v>
      </c>
      <c r="D20" s="13">
        <v>5.6</v>
      </c>
      <c r="E20" s="13">
        <v>8.5</v>
      </c>
      <c r="F20" s="13">
        <v>12</v>
      </c>
      <c r="G20" s="14" t="s">
        <v>17</v>
      </c>
      <c r="H20" s="15">
        <f t="shared" si="11"/>
        <v>22.360023664382101</v>
      </c>
      <c r="I20" s="15">
        <f t="shared" si="12"/>
        <v>28.484106578830701</v>
      </c>
      <c r="J20" s="16" t="s">
        <v>17</v>
      </c>
      <c r="K20" s="15">
        <f t="shared" si="17"/>
        <v>183</v>
      </c>
      <c r="L20" s="15">
        <f t="shared" si="18"/>
        <v>159</v>
      </c>
      <c r="M20" s="14" t="s">
        <v>67</v>
      </c>
      <c r="N20" s="14">
        <v>56</v>
      </c>
      <c r="O20" s="14">
        <v>67</v>
      </c>
      <c r="P20" s="14" t="s">
        <v>17</v>
      </c>
      <c r="Q20" s="14" t="s">
        <v>17</v>
      </c>
      <c r="R20" s="14">
        <f t="shared" si="13"/>
        <v>25</v>
      </c>
      <c r="S20" s="14">
        <v>0</v>
      </c>
      <c r="T20" s="17">
        <f t="shared" si="0"/>
        <v>0.76819822368615498</v>
      </c>
      <c r="U20" s="18">
        <f t="shared" si="1"/>
        <v>34.355877042734939</v>
      </c>
      <c r="V20" s="19">
        <v>1</v>
      </c>
      <c r="W20" s="19">
        <v>1</v>
      </c>
      <c r="X20" s="19">
        <v>1</v>
      </c>
      <c r="Y20" s="19">
        <v>1</v>
      </c>
      <c r="Z20" s="19">
        <v>2</v>
      </c>
      <c r="AA20" s="19">
        <v>3</v>
      </c>
      <c r="AB20" s="15">
        <f t="shared" si="2"/>
        <v>1943.1661975305333</v>
      </c>
      <c r="AC20" s="15">
        <f t="shared" si="3"/>
        <v>194.31661975305332</v>
      </c>
      <c r="AD20" s="15">
        <f t="shared" si="4"/>
        <v>220.63864730170405</v>
      </c>
      <c r="AE20" s="20">
        <f t="shared" si="5"/>
        <v>8.2594983829091806</v>
      </c>
      <c r="AF20" s="20">
        <f t="shared" si="6"/>
        <v>14.0001065788307</v>
      </c>
      <c r="AG20" s="18">
        <f t="shared" si="7"/>
        <v>142.36800202865896</v>
      </c>
      <c r="AH20" s="18">
        <f t="shared" si="8"/>
        <v>28.473600405731794</v>
      </c>
      <c r="AI20" s="20">
        <f t="shared" si="9"/>
        <v>44.612157736669431</v>
      </c>
      <c r="AJ20" s="20">
        <f t="shared" si="10"/>
        <v>2.2356555600726926</v>
      </c>
      <c r="AK20" s="20">
        <f t="shared" si="14"/>
        <v>36.658874503045716</v>
      </c>
      <c r="AL20" s="21">
        <f t="shared" si="15"/>
        <v>6.980120130097939</v>
      </c>
      <c r="AM20" s="21">
        <f t="shared" si="16"/>
        <v>12.988088541666668</v>
      </c>
      <c r="AN20" s="22" t="s">
        <v>17</v>
      </c>
      <c r="AO20" s="22" t="s">
        <v>17</v>
      </c>
      <c r="AP20" s="22" t="s">
        <v>17</v>
      </c>
      <c r="AQ20" s="22" t="s">
        <v>17</v>
      </c>
      <c r="AR20" s="22" t="s">
        <v>17</v>
      </c>
      <c r="AS20" s="22" t="s">
        <v>17</v>
      </c>
      <c r="AT20" s="22" t="s">
        <v>17</v>
      </c>
      <c r="AU20" s="22" t="s">
        <v>17</v>
      </c>
    </row>
    <row r="21" spans="1:47" ht="15.75" x14ac:dyDescent="0.3">
      <c r="A21" s="12" t="s">
        <v>72</v>
      </c>
      <c r="B21" s="13">
        <v>202</v>
      </c>
      <c r="C21" s="13">
        <v>102</v>
      </c>
      <c r="D21" s="13">
        <v>6.2</v>
      </c>
      <c r="E21" s="13">
        <v>9.5</v>
      </c>
      <c r="F21" s="13">
        <v>12</v>
      </c>
      <c r="G21" s="14" t="s">
        <v>17</v>
      </c>
      <c r="H21" s="15">
        <f t="shared" si="11"/>
        <v>25.090253664382104</v>
      </c>
      <c r="I21" s="15">
        <f t="shared" si="12"/>
        <v>31.962106578830703</v>
      </c>
      <c r="J21" s="16" t="s">
        <v>17</v>
      </c>
      <c r="K21" s="15">
        <f t="shared" si="17"/>
        <v>183</v>
      </c>
      <c r="L21" s="15">
        <f t="shared" si="18"/>
        <v>159</v>
      </c>
      <c r="M21" s="14" t="s">
        <v>67</v>
      </c>
      <c r="N21" s="14">
        <v>56</v>
      </c>
      <c r="O21" s="14">
        <v>69</v>
      </c>
      <c r="P21" s="14" t="s">
        <v>17</v>
      </c>
      <c r="Q21" s="14" t="s">
        <v>17</v>
      </c>
      <c r="R21" s="14">
        <f t="shared" si="13"/>
        <v>25.5</v>
      </c>
      <c r="S21" s="14">
        <v>0</v>
      </c>
      <c r="T21" s="17">
        <f t="shared" si="0"/>
        <v>0.77899822368615501</v>
      </c>
      <c r="U21" s="18">
        <f t="shared" si="1"/>
        <v>31.047841688105922</v>
      </c>
      <c r="V21" s="19">
        <v>1</v>
      </c>
      <c r="W21" s="19">
        <v>1</v>
      </c>
      <c r="X21" s="19">
        <v>1</v>
      </c>
      <c r="Y21" s="19">
        <v>1</v>
      </c>
      <c r="Z21" s="19">
        <v>1</v>
      </c>
      <c r="AA21" s="19">
        <v>2</v>
      </c>
      <c r="AB21" s="15">
        <f t="shared" si="2"/>
        <v>2211.047315863867</v>
      </c>
      <c r="AC21" s="15">
        <f t="shared" si="3"/>
        <v>218.91557582810566</v>
      </c>
      <c r="AD21" s="15">
        <f t="shared" si="4"/>
        <v>249.41949730170404</v>
      </c>
      <c r="AE21" s="20">
        <f t="shared" si="5"/>
        <v>8.3172799689028611</v>
      </c>
      <c r="AF21" s="20">
        <f t="shared" si="6"/>
        <v>15.451106578830704</v>
      </c>
      <c r="AG21" s="18">
        <f t="shared" si="7"/>
        <v>168.8633324181331</v>
      </c>
      <c r="AH21" s="18">
        <f t="shared" si="8"/>
        <v>33.110457336888842</v>
      </c>
      <c r="AI21" s="20">
        <f t="shared" si="9"/>
        <v>51.892150934034355</v>
      </c>
      <c r="AJ21" s="20">
        <f t="shared" si="10"/>
        <v>2.2985289608360664</v>
      </c>
      <c r="AK21" s="20">
        <f t="shared" si="14"/>
        <v>39.258874503045718</v>
      </c>
      <c r="AL21" s="21">
        <f t="shared" si="15"/>
        <v>9.4456114011400061</v>
      </c>
      <c r="AM21" s="21">
        <f t="shared" si="16"/>
        <v>15.565903959375001</v>
      </c>
      <c r="AN21" s="22" t="s">
        <v>17</v>
      </c>
      <c r="AO21" s="22" t="s">
        <v>17</v>
      </c>
      <c r="AP21" s="22" t="s">
        <v>17</v>
      </c>
      <c r="AQ21" s="22" t="s">
        <v>17</v>
      </c>
      <c r="AR21" s="22" t="s">
        <v>17</v>
      </c>
      <c r="AS21" s="22" t="s">
        <v>17</v>
      </c>
      <c r="AT21" s="22" t="s">
        <v>17</v>
      </c>
      <c r="AU21" s="22" t="s">
        <v>17</v>
      </c>
    </row>
    <row r="22" spans="1:47" ht="15.75" x14ac:dyDescent="0.3">
      <c r="A22" s="12" t="s">
        <v>73</v>
      </c>
      <c r="B22" s="13">
        <v>217</v>
      </c>
      <c r="C22" s="13">
        <v>110</v>
      </c>
      <c r="D22" s="13">
        <v>5</v>
      </c>
      <c r="E22" s="13">
        <v>7.7</v>
      </c>
      <c r="F22" s="13">
        <v>12</v>
      </c>
      <c r="G22" s="14" t="s">
        <v>17</v>
      </c>
      <c r="H22" s="15">
        <f t="shared" si="11"/>
        <v>22.181043664382099</v>
      </c>
      <c r="I22" s="15">
        <f t="shared" si="12"/>
        <v>28.2561065788307</v>
      </c>
      <c r="J22" s="16" t="s">
        <v>17</v>
      </c>
      <c r="K22" s="15">
        <f t="shared" si="17"/>
        <v>201.6</v>
      </c>
      <c r="L22" s="15">
        <f t="shared" si="18"/>
        <v>177.6</v>
      </c>
      <c r="M22" s="14" t="s">
        <v>74</v>
      </c>
      <c r="N22" s="14">
        <v>65</v>
      </c>
      <c r="O22" s="14">
        <v>71</v>
      </c>
      <c r="P22" s="14" t="s">
        <v>17</v>
      </c>
      <c r="Q22" s="14" t="s">
        <v>17</v>
      </c>
      <c r="R22" s="14">
        <f t="shared" si="13"/>
        <v>27.5</v>
      </c>
      <c r="S22" s="14">
        <v>0</v>
      </c>
      <c r="T22" s="17">
        <f t="shared" si="0"/>
        <v>0.84339822368615502</v>
      </c>
      <c r="U22" s="18">
        <f t="shared" si="1"/>
        <v>38.023378721374954</v>
      </c>
      <c r="V22" s="19">
        <v>1</v>
      </c>
      <c r="W22" s="19">
        <v>1</v>
      </c>
      <c r="X22" s="19">
        <v>1</v>
      </c>
      <c r="Y22" s="19">
        <v>2</v>
      </c>
      <c r="Z22" s="19">
        <v>4</v>
      </c>
      <c r="AA22" s="19">
        <v>4</v>
      </c>
      <c r="AB22" s="15">
        <f t="shared" si="2"/>
        <v>2316.5051677197698</v>
      </c>
      <c r="AC22" s="15">
        <f t="shared" si="3"/>
        <v>213.50278043500182</v>
      </c>
      <c r="AD22" s="15">
        <f t="shared" si="4"/>
        <v>240.20892642001658</v>
      </c>
      <c r="AE22" s="20">
        <f t="shared" si="5"/>
        <v>9.0544166807443958</v>
      </c>
      <c r="AF22" s="20">
        <f t="shared" si="6"/>
        <v>13.549106578830699</v>
      </c>
      <c r="AG22" s="18">
        <f t="shared" si="7"/>
        <v>171.4156513453182</v>
      </c>
      <c r="AH22" s="18">
        <f t="shared" si="8"/>
        <v>31.166482062785125</v>
      </c>
      <c r="AI22" s="20">
        <f t="shared" si="9"/>
        <v>48.48535453930451</v>
      </c>
      <c r="AJ22" s="20">
        <f t="shared" si="10"/>
        <v>2.4630264553927157</v>
      </c>
      <c r="AK22" s="20">
        <f t="shared" si="14"/>
        <v>34.458874503045713</v>
      </c>
      <c r="AL22" s="21">
        <f t="shared" si="15"/>
        <v>5.6889509454344065</v>
      </c>
      <c r="AM22" s="21">
        <f t="shared" si="16"/>
        <v>18.70664891929167</v>
      </c>
      <c r="AN22" s="22" t="s">
        <v>17</v>
      </c>
      <c r="AO22" s="22" t="s">
        <v>17</v>
      </c>
      <c r="AP22" s="22" t="s">
        <v>17</v>
      </c>
      <c r="AQ22" s="22" t="s">
        <v>17</v>
      </c>
      <c r="AR22" s="22" t="s">
        <v>17</v>
      </c>
      <c r="AS22" s="22" t="s">
        <v>17</v>
      </c>
      <c r="AT22" s="22" t="s">
        <v>17</v>
      </c>
      <c r="AU22" s="22" t="s">
        <v>17</v>
      </c>
    </row>
    <row r="23" spans="1:47" ht="15.75" x14ac:dyDescent="0.3">
      <c r="A23" s="12" t="s">
        <v>75</v>
      </c>
      <c r="B23" s="13">
        <v>220</v>
      </c>
      <c r="C23" s="13">
        <v>110</v>
      </c>
      <c r="D23" s="13">
        <v>5.9</v>
      </c>
      <c r="E23" s="13">
        <v>9.1999999999999993</v>
      </c>
      <c r="F23" s="13">
        <v>12</v>
      </c>
      <c r="G23" s="14" t="s">
        <v>17</v>
      </c>
      <c r="H23" s="15">
        <f t="shared" si="11"/>
        <v>26.195847664382093</v>
      </c>
      <c r="I23" s="15">
        <f t="shared" si="12"/>
        <v>33.370506578830692</v>
      </c>
      <c r="J23" s="16" t="s">
        <v>17</v>
      </c>
      <c r="K23" s="15">
        <f t="shared" si="17"/>
        <v>201.6</v>
      </c>
      <c r="L23" s="15">
        <f t="shared" si="18"/>
        <v>177.6</v>
      </c>
      <c r="M23" s="14" t="s">
        <v>74</v>
      </c>
      <c r="N23" s="14">
        <v>66</v>
      </c>
      <c r="O23" s="14">
        <v>71</v>
      </c>
      <c r="P23" s="14" t="s">
        <v>17</v>
      </c>
      <c r="Q23" s="14" t="s">
        <v>17</v>
      </c>
      <c r="R23" s="14">
        <f t="shared" si="13"/>
        <v>27.5</v>
      </c>
      <c r="S23" s="14">
        <v>0</v>
      </c>
      <c r="T23" s="17">
        <f t="shared" si="0"/>
        <v>0.84759822368615501</v>
      </c>
      <c r="U23" s="18">
        <f t="shared" si="1"/>
        <v>32.356205248460633</v>
      </c>
      <c r="V23" s="19">
        <v>1</v>
      </c>
      <c r="W23" s="19">
        <v>1</v>
      </c>
      <c r="X23" s="19">
        <v>1</v>
      </c>
      <c r="Y23" s="19">
        <v>1</v>
      </c>
      <c r="Z23" s="19">
        <v>2</v>
      </c>
      <c r="AA23" s="19">
        <v>4</v>
      </c>
      <c r="AB23" s="15">
        <f t="shared" si="2"/>
        <v>2771.8364684397702</v>
      </c>
      <c r="AC23" s="15">
        <f t="shared" si="3"/>
        <v>251.98513349452458</v>
      </c>
      <c r="AD23" s="15">
        <f t="shared" si="4"/>
        <v>285.40600242001659</v>
      </c>
      <c r="AE23" s="20">
        <f t="shared" si="5"/>
        <v>9.113861037634754</v>
      </c>
      <c r="AF23" s="20">
        <f t="shared" si="6"/>
        <v>15.881306578830696</v>
      </c>
      <c r="AG23" s="18">
        <f t="shared" si="7"/>
        <v>204.88582685512932</v>
      </c>
      <c r="AH23" s="18">
        <f t="shared" si="8"/>
        <v>37.251968519114421</v>
      </c>
      <c r="AI23" s="20">
        <f t="shared" si="9"/>
        <v>58.11040333535189</v>
      </c>
      <c r="AJ23" s="20">
        <f t="shared" si="10"/>
        <v>2.4778474120479848</v>
      </c>
      <c r="AK23" s="20">
        <f t="shared" si="14"/>
        <v>38.358874503045712</v>
      </c>
      <c r="AL23" s="21">
        <f t="shared" si="15"/>
        <v>9.0657569796632025</v>
      </c>
      <c r="AM23" s="21">
        <f t="shared" si="16"/>
        <v>22.67231433866667</v>
      </c>
      <c r="AN23" s="22" t="s">
        <v>17</v>
      </c>
      <c r="AO23" s="22" t="s">
        <v>17</v>
      </c>
      <c r="AP23" s="22" t="s">
        <v>17</v>
      </c>
      <c r="AQ23" s="22" t="s">
        <v>17</v>
      </c>
      <c r="AR23" s="22" t="s">
        <v>17</v>
      </c>
      <c r="AS23" s="22" t="s">
        <v>17</v>
      </c>
      <c r="AT23" s="22" t="s">
        <v>17</v>
      </c>
      <c r="AU23" s="22" t="s">
        <v>17</v>
      </c>
    </row>
    <row r="24" spans="1:47" ht="15.75" x14ac:dyDescent="0.3">
      <c r="A24" s="12" t="s">
        <v>76</v>
      </c>
      <c r="B24" s="13">
        <v>222</v>
      </c>
      <c r="C24" s="13">
        <v>112</v>
      </c>
      <c r="D24" s="13">
        <v>6.6</v>
      </c>
      <c r="E24" s="13">
        <v>10.199999999999999</v>
      </c>
      <c r="F24" s="13">
        <v>12</v>
      </c>
      <c r="G24" s="14" t="s">
        <v>17</v>
      </c>
      <c r="H24" s="15">
        <f t="shared" si="11"/>
        <v>29.350919664382097</v>
      </c>
      <c r="I24" s="15">
        <f t="shared" si="12"/>
        <v>37.389706578830697</v>
      </c>
      <c r="J24" s="16" t="s">
        <v>17</v>
      </c>
      <c r="K24" s="15">
        <f t="shared" si="17"/>
        <v>201.6</v>
      </c>
      <c r="L24" s="15">
        <f t="shared" si="18"/>
        <v>177.6</v>
      </c>
      <c r="M24" s="14" t="s">
        <v>74</v>
      </c>
      <c r="N24" s="14">
        <v>67</v>
      </c>
      <c r="O24" s="14">
        <v>73</v>
      </c>
      <c r="P24" s="14" t="s">
        <v>17</v>
      </c>
      <c r="Q24" s="14" t="s">
        <v>17</v>
      </c>
      <c r="R24" s="14">
        <f t="shared" si="13"/>
        <v>28</v>
      </c>
      <c r="S24" s="14">
        <v>0</v>
      </c>
      <c r="T24" s="17">
        <f t="shared" si="0"/>
        <v>0.85819822368615495</v>
      </c>
      <c r="U24" s="18">
        <f t="shared" si="1"/>
        <v>29.239227714135136</v>
      </c>
      <c r="V24" s="19">
        <v>1</v>
      </c>
      <c r="W24" s="19">
        <v>1</v>
      </c>
      <c r="X24" s="19">
        <v>1</v>
      </c>
      <c r="Y24" s="19">
        <v>1</v>
      </c>
      <c r="Z24" s="19">
        <v>2</v>
      </c>
      <c r="AA24" s="19">
        <v>2</v>
      </c>
      <c r="AB24" s="15">
        <f t="shared" si="2"/>
        <v>3134.0512507331027</v>
      </c>
      <c r="AC24" s="15">
        <f t="shared" si="3"/>
        <v>282.34695952550476</v>
      </c>
      <c r="AD24" s="15">
        <f t="shared" si="4"/>
        <v>321.14917042001656</v>
      </c>
      <c r="AE24" s="20">
        <f t="shared" si="5"/>
        <v>9.155393574094612</v>
      </c>
      <c r="AF24" s="20">
        <f t="shared" si="6"/>
        <v>17.6629065788307</v>
      </c>
      <c r="AG24" s="18">
        <f t="shared" si="7"/>
        <v>239.82511243156026</v>
      </c>
      <c r="AH24" s="18">
        <f t="shared" si="8"/>
        <v>42.825912934207189</v>
      </c>
      <c r="AI24" s="20">
        <f t="shared" si="9"/>
        <v>66.909067065610955</v>
      </c>
      <c r="AJ24" s="20">
        <f t="shared" si="10"/>
        <v>2.5326273928354652</v>
      </c>
      <c r="AK24" s="20">
        <f t="shared" si="14"/>
        <v>41.058874503045715</v>
      </c>
      <c r="AL24" s="21">
        <f t="shared" si="15"/>
        <v>12.269885777510938</v>
      </c>
      <c r="AM24" s="21">
        <f t="shared" si="16"/>
        <v>26.785200992256005</v>
      </c>
      <c r="AN24" s="22" t="s">
        <v>17</v>
      </c>
      <c r="AO24" s="22" t="s">
        <v>17</v>
      </c>
      <c r="AP24" s="22" t="s">
        <v>17</v>
      </c>
      <c r="AQ24" s="22" t="s">
        <v>17</v>
      </c>
      <c r="AR24" s="22" t="s">
        <v>17</v>
      </c>
      <c r="AS24" s="22" t="s">
        <v>17</v>
      </c>
      <c r="AT24" s="22" t="s">
        <v>17</v>
      </c>
      <c r="AU24" s="22" t="s">
        <v>17</v>
      </c>
    </row>
    <row r="25" spans="1:47" ht="15.75" x14ac:dyDescent="0.3">
      <c r="A25" s="12" t="s">
        <v>77</v>
      </c>
      <c r="B25" s="13">
        <v>237</v>
      </c>
      <c r="C25" s="13">
        <v>120</v>
      </c>
      <c r="D25" s="13">
        <v>5.2</v>
      </c>
      <c r="E25" s="13">
        <v>8.3000000000000007</v>
      </c>
      <c r="F25" s="13">
        <v>15</v>
      </c>
      <c r="G25" s="14" t="s">
        <v>17</v>
      </c>
      <c r="H25" s="15">
        <f t="shared" si="11"/>
        <v>26.15008997559703</v>
      </c>
      <c r="I25" s="15">
        <f t="shared" si="12"/>
        <v>33.312216529422969</v>
      </c>
      <c r="J25" s="16" t="s">
        <v>17</v>
      </c>
      <c r="K25" s="15">
        <f t="shared" si="17"/>
        <v>220.4</v>
      </c>
      <c r="L25" s="15">
        <f t="shared" si="18"/>
        <v>190.4</v>
      </c>
      <c r="M25" s="14" t="s">
        <v>78</v>
      </c>
      <c r="N25" s="14">
        <v>65</v>
      </c>
      <c r="O25" s="14" t="s">
        <v>79</v>
      </c>
      <c r="P25" s="14" t="s">
        <v>17</v>
      </c>
      <c r="Q25" s="14" t="s">
        <v>17</v>
      </c>
      <c r="R25" s="14">
        <f t="shared" si="13"/>
        <v>30</v>
      </c>
      <c r="S25" s="14">
        <v>0</v>
      </c>
      <c r="T25" s="17">
        <f t="shared" si="0"/>
        <v>0.91784777960769381</v>
      </c>
      <c r="U25" s="18">
        <f t="shared" si="1"/>
        <v>35.099220708770758</v>
      </c>
      <c r="V25" s="19">
        <v>1</v>
      </c>
      <c r="W25" s="19">
        <v>1</v>
      </c>
      <c r="X25" s="19">
        <v>2</v>
      </c>
      <c r="Y25" s="19">
        <v>2</v>
      </c>
      <c r="Z25" s="19">
        <v>4</v>
      </c>
      <c r="AA25" s="19">
        <v>4</v>
      </c>
      <c r="AB25" s="15">
        <f t="shared" si="2"/>
        <v>3290.4562368891802</v>
      </c>
      <c r="AC25" s="15">
        <f t="shared" si="3"/>
        <v>277.67563180499411</v>
      </c>
      <c r="AD25" s="15">
        <f t="shared" si="4"/>
        <v>311.57129336010661</v>
      </c>
      <c r="AE25" s="20">
        <f t="shared" si="5"/>
        <v>9.9386247678197179</v>
      </c>
      <c r="AF25" s="20">
        <f t="shared" si="6"/>
        <v>16.313816529422969</v>
      </c>
      <c r="AG25" s="18">
        <f t="shared" si="7"/>
        <v>240.1341187675807</v>
      </c>
      <c r="AH25" s="18">
        <f t="shared" si="8"/>
        <v>40.022353127930117</v>
      </c>
      <c r="AI25" s="20">
        <f t="shared" si="9"/>
        <v>62.39919709178443</v>
      </c>
      <c r="AJ25" s="20">
        <f t="shared" si="10"/>
        <v>2.6848817915545298</v>
      </c>
      <c r="AK25" s="20">
        <f t="shared" si="14"/>
        <v>39.373593128807144</v>
      </c>
      <c r="AL25" s="21">
        <f t="shared" si="15"/>
        <v>8.3515696061482103</v>
      </c>
      <c r="AM25" s="21">
        <f t="shared" si="16"/>
        <v>31.256685144000002</v>
      </c>
      <c r="AN25" s="22" t="s">
        <v>17</v>
      </c>
      <c r="AO25" s="22" t="s">
        <v>17</v>
      </c>
      <c r="AP25" s="22" t="s">
        <v>17</v>
      </c>
      <c r="AQ25" s="22" t="s">
        <v>17</v>
      </c>
      <c r="AR25" s="22" t="s">
        <v>17</v>
      </c>
      <c r="AS25" s="22" t="s">
        <v>17</v>
      </c>
      <c r="AT25" s="22" t="s">
        <v>17</v>
      </c>
      <c r="AU25" s="22" t="s">
        <v>17</v>
      </c>
    </row>
    <row r="26" spans="1:47" ht="15.75" x14ac:dyDescent="0.3">
      <c r="A26" s="12" t="s">
        <v>80</v>
      </c>
      <c r="B26" s="13">
        <v>240</v>
      </c>
      <c r="C26" s="13">
        <v>120</v>
      </c>
      <c r="D26" s="13">
        <v>6.2</v>
      </c>
      <c r="E26" s="13">
        <v>9.8000000000000007</v>
      </c>
      <c r="F26" s="13">
        <v>15</v>
      </c>
      <c r="G26" s="14" t="s">
        <v>17</v>
      </c>
      <c r="H26" s="15">
        <f t="shared" si="11"/>
        <v>30.706229975597029</v>
      </c>
      <c r="I26" s="15">
        <f t="shared" si="12"/>
        <v>39.116216529422964</v>
      </c>
      <c r="J26" s="16" t="s">
        <v>17</v>
      </c>
      <c r="K26" s="15">
        <f t="shared" si="17"/>
        <v>220.4</v>
      </c>
      <c r="L26" s="15">
        <f t="shared" si="18"/>
        <v>190.4</v>
      </c>
      <c r="M26" s="14" t="s">
        <v>74</v>
      </c>
      <c r="N26" s="14">
        <v>66</v>
      </c>
      <c r="O26" s="14">
        <v>81</v>
      </c>
      <c r="P26" s="14" t="s">
        <v>17</v>
      </c>
      <c r="Q26" s="14" t="s">
        <v>17</v>
      </c>
      <c r="R26" s="14">
        <f t="shared" si="13"/>
        <v>30</v>
      </c>
      <c r="S26" s="14">
        <v>0</v>
      </c>
      <c r="T26" s="17">
        <f t="shared" si="0"/>
        <v>0.92184777960769382</v>
      </c>
      <c r="U26" s="18">
        <f t="shared" si="1"/>
        <v>30.021522679283915</v>
      </c>
      <c r="V26" s="19">
        <v>1</v>
      </c>
      <c r="W26" s="19">
        <v>1</v>
      </c>
      <c r="X26" s="19">
        <v>1</v>
      </c>
      <c r="Y26" s="19">
        <v>1</v>
      </c>
      <c r="Z26" s="19">
        <v>2</v>
      </c>
      <c r="AA26" s="19">
        <v>4</v>
      </c>
      <c r="AB26" s="15">
        <f t="shared" si="2"/>
        <v>3891.621450755847</v>
      </c>
      <c r="AC26" s="15">
        <f t="shared" si="3"/>
        <v>324.30178756298727</v>
      </c>
      <c r="AD26" s="15">
        <f t="shared" si="4"/>
        <v>366.64533336010663</v>
      </c>
      <c r="AE26" s="20">
        <f t="shared" si="5"/>
        <v>9.9744021343415508</v>
      </c>
      <c r="AF26" s="20">
        <f t="shared" si="6"/>
        <v>19.143816529422963</v>
      </c>
      <c r="AG26" s="18">
        <f t="shared" si="7"/>
        <v>283.63336394824734</v>
      </c>
      <c r="AH26" s="18">
        <f t="shared" si="8"/>
        <v>47.272227324707892</v>
      </c>
      <c r="AI26" s="20">
        <f t="shared" si="9"/>
        <v>73.923907918255551</v>
      </c>
      <c r="AJ26" s="20">
        <f t="shared" si="10"/>
        <v>2.692776057358687</v>
      </c>
      <c r="AK26" s="20">
        <f t="shared" si="14"/>
        <v>43.373593128807144</v>
      </c>
      <c r="AL26" s="21">
        <f t="shared" si="15"/>
        <v>12.879812852961646</v>
      </c>
      <c r="AM26" s="21">
        <f t="shared" si="16"/>
        <v>37.391183423999998</v>
      </c>
      <c r="AN26" s="22" t="s">
        <v>17</v>
      </c>
      <c r="AO26" s="22" t="s">
        <v>17</v>
      </c>
      <c r="AP26" s="22" t="s">
        <v>17</v>
      </c>
      <c r="AQ26" s="22" t="s">
        <v>17</v>
      </c>
      <c r="AR26" s="22" t="s">
        <v>17</v>
      </c>
      <c r="AS26" s="22" t="s">
        <v>17</v>
      </c>
      <c r="AT26" s="22" t="s">
        <v>17</v>
      </c>
      <c r="AU26" s="22" t="s">
        <v>17</v>
      </c>
    </row>
    <row r="27" spans="1:47" ht="15.75" x14ac:dyDescent="0.3">
      <c r="A27" s="12" t="s">
        <v>81</v>
      </c>
      <c r="B27" s="13">
        <v>242</v>
      </c>
      <c r="C27" s="13">
        <v>122</v>
      </c>
      <c r="D27" s="13">
        <v>7</v>
      </c>
      <c r="E27" s="13">
        <v>10.8</v>
      </c>
      <c r="F27" s="13">
        <v>15</v>
      </c>
      <c r="G27" s="14" t="s">
        <v>17</v>
      </c>
      <c r="H27" s="15">
        <f t="shared" si="11"/>
        <v>34.313461975597029</v>
      </c>
      <c r="I27" s="15">
        <f t="shared" si="12"/>
        <v>43.711416529422969</v>
      </c>
      <c r="J27" s="16" t="s">
        <v>17</v>
      </c>
      <c r="K27" s="15">
        <f t="shared" si="17"/>
        <v>220.4</v>
      </c>
      <c r="L27" s="15">
        <f t="shared" si="18"/>
        <v>190.4</v>
      </c>
      <c r="M27" s="14" t="s">
        <v>78</v>
      </c>
      <c r="N27" s="14">
        <v>67</v>
      </c>
      <c r="O27" s="14" t="s">
        <v>82</v>
      </c>
      <c r="P27" s="14" t="s">
        <v>17</v>
      </c>
      <c r="Q27" s="14" t="s">
        <v>17</v>
      </c>
      <c r="R27" s="14">
        <f t="shared" si="13"/>
        <v>30.5</v>
      </c>
      <c r="S27" s="14">
        <v>0</v>
      </c>
      <c r="T27" s="17">
        <f t="shared" si="0"/>
        <v>0.93224777960769378</v>
      </c>
      <c r="U27" s="18">
        <f t="shared" si="1"/>
        <v>27.168572505761375</v>
      </c>
      <c r="V27" s="19">
        <v>1</v>
      </c>
      <c r="W27" s="19">
        <v>1</v>
      </c>
      <c r="X27" s="19">
        <v>1</v>
      </c>
      <c r="Y27" s="19">
        <v>1</v>
      </c>
      <c r="Z27" s="19">
        <v>2</v>
      </c>
      <c r="AA27" s="19">
        <v>3</v>
      </c>
      <c r="AB27" s="15">
        <f t="shared" si="2"/>
        <v>4369.2557274491792</v>
      </c>
      <c r="AC27" s="15">
        <f t="shared" si="3"/>
        <v>361.09551466522146</v>
      </c>
      <c r="AD27" s="15">
        <f t="shared" si="4"/>
        <v>410.27448536010655</v>
      </c>
      <c r="AE27" s="20">
        <f t="shared" si="5"/>
        <v>9.9978425213513766</v>
      </c>
      <c r="AF27" s="20">
        <f t="shared" si="6"/>
        <v>21.355416529422964</v>
      </c>
      <c r="AG27" s="18">
        <f t="shared" si="7"/>
        <v>328.54101745278075</v>
      </c>
      <c r="AH27" s="18">
        <f t="shared" si="8"/>
        <v>53.859183188980452</v>
      </c>
      <c r="AI27" s="20">
        <f t="shared" si="9"/>
        <v>84.396620579432494</v>
      </c>
      <c r="AJ27" s="20">
        <f t="shared" si="10"/>
        <v>2.7415574973707582</v>
      </c>
      <c r="AK27" s="20">
        <f t="shared" si="14"/>
        <v>46.173593128807148</v>
      </c>
      <c r="AL27" s="21">
        <f t="shared" si="15"/>
        <v>17.183176158175808</v>
      </c>
      <c r="AM27" s="21">
        <f t="shared" si="16"/>
        <v>43.678494952704</v>
      </c>
      <c r="AN27" s="22" t="s">
        <v>17</v>
      </c>
      <c r="AO27" s="22" t="s">
        <v>17</v>
      </c>
      <c r="AP27" s="22" t="s">
        <v>17</v>
      </c>
      <c r="AQ27" s="22" t="s">
        <v>17</v>
      </c>
      <c r="AR27" s="22" t="s">
        <v>17</v>
      </c>
      <c r="AS27" s="22" t="s">
        <v>17</v>
      </c>
      <c r="AT27" s="22" t="s">
        <v>17</v>
      </c>
      <c r="AU27" s="22" t="s">
        <v>17</v>
      </c>
    </row>
    <row r="28" spans="1:47" ht="15.75" x14ac:dyDescent="0.3">
      <c r="A28" s="12" t="s">
        <v>83</v>
      </c>
      <c r="B28" s="13">
        <v>267</v>
      </c>
      <c r="C28" s="13">
        <v>135</v>
      </c>
      <c r="D28" s="13">
        <v>5.5</v>
      </c>
      <c r="E28" s="13">
        <v>8.6999999999999993</v>
      </c>
      <c r="F28" s="13">
        <v>15</v>
      </c>
      <c r="G28" s="14" t="s">
        <v>17</v>
      </c>
      <c r="H28" s="15">
        <f t="shared" si="11"/>
        <v>30.732291975597033</v>
      </c>
      <c r="I28" s="15">
        <f t="shared" si="12"/>
        <v>39.149416529422972</v>
      </c>
      <c r="J28" s="16" t="s">
        <v>17</v>
      </c>
      <c r="K28" s="15">
        <f t="shared" si="17"/>
        <v>249.6</v>
      </c>
      <c r="L28" s="15">
        <f t="shared" si="18"/>
        <v>219.6</v>
      </c>
      <c r="M28" s="14" t="s">
        <v>84</v>
      </c>
      <c r="N28" s="14" t="s">
        <v>85</v>
      </c>
      <c r="O28" s="14">
        <v>81</v>
      </c>
      <c r="P28" s="14" t="s">
        <v>17</v>
      </c>
      <c r="Q28" s="14" t="s">
        <v>17</v>
      </c>
      <c r="R28" s="14">
        <f t="shared" si="13"/>
        <v>33.75</v>
      </c>
      <c r="S28" s="14">
        <v>0</v>
      </c>
      <c r="T28" s="17">
        <f t="shared" si="0"/>
        <v>1.0372477796076938</v>
      </c>
      <c r="U28" s="18">
        <f t="shared" si="1"/>
        <v>33.751071362699534</v>
      </c>
      <c r="V28" s="19">
        <v>1</v>
      </c>
      <c r="W28" s="19">
        <v>1</v>
      </c>
      <c r="X28" s="19">
        <v>2</v>
      </c>
      <c r="Y28" s="19">
        <v>3</v>
      </c>
      <c r="Z28" s="19">
        <v>4</v>
      </c>
      <c r="AA28" s="19">
        <v>4</v>
      </c>
      <c r="AB28" s="15">
        <f t="shared" si="2"/>
        <v>4917.2929407337151</v>
      </c>
      <c r="AC28" s="15">
        <f t="shared" si="3"/>
        <v>368.33654986769403</v>
      </c>
      <c r="AD28" s="15">
        <f t="shared" si="4"/>
        <v>412.49302349306413</v>
      </c>
      <c r="AE28" s="20">
        <f t="shared" si="5"/>
        <v>11.207284424727552</v>
      </c>
      <c r="AF28" s="20">
        <f t="shared" si="6"/>
        <v>18.747916529422969</v>
      </c>
      <c r="AG28" s="18">
        <f t="shared" si="7"/>
        <v>357.971219590114</v>
      </c>
      <c r="AH28" s="18">
        <f t="shared" si="8"/>
        <v>53.032773272609482</v>
      </c>
      <c r="AI28" s="20">
        <f t="shared" si="9"/>
        <v>82.344614339725766</v>
      </c>
      <c r="AJ28" s="20">
        <f t="shared" si="10"/>
        <v>3.0238581103925646</v>
      </c>
      <c r="AK28" s="20">
        <f t="shared" si="14"/>
        <v>40.473593128807146</v>
      </c>
      <c r="AL28" s="21">
        <f t="shared" si="15"/>
        <v>10.298541467213669</v>
      </c>
      <c r="AM28" s="21">
        <f t="shared" si="16"/>
        <v>59.505639756609376</v>
      </c>
      <c r="AN28" s="22" t="s">
        <v>17</v>
      </c>
      <c r="AO28" s="22" t="s">
        <v>17</v>
      </c>
      <c r="AP28" s="22" t="s">
        <v>17</v>
      </c>
      <c r="AQ28" s="22" t="s">
        <v>17</v>
      </c>
      <c r="AR28" s="22" t="s">
        <v>17</v>
      </c>
      <c r="AS28" s="22" t="s">
        <v>17</v>
      </c>
      <c r="AT28" s="22" t="s">
        <v>17</v>
      </c>
      <c r="AU28" s="22" t="s">
        <v>17</v>
      </c>
    </row>
    <row r="29" spans="1:47" ht="15.75" x14ac:dyDescent="0.3">
      <c r="A29" s="12" t="s">
        <v>86</v>
      </c>
      <c r="B29" s="13">
        <v>270</v>
      </c>
      <c r="C29" s="13">
        <v>135</v>
      </c>
      <c r="D29" s="13">
        <v>6.6</v>
      </c>
      <c r="E29" s="13">
        <v>10.199999999999999</v>
      </c>
      <c r="F29" s="13">
        <v>15</v>
      </c>
      <c r="G29" s="14" t="s">
        <v>17</v>
      </c>
      <c r="H29" s="15">
        <f t="shared" si="11"/>
        <v>36.066837975597032</v>
      </c>
      <c r="I29" s="15">
        <f t="shared" si="12"/>
        <v>45.945016529422965</v>
      </c>
      <c r="J29" s="16" t="s">
        <v>17</v>
      </c>
      <c r="K29" s="15">
        <f t="shared" si="17"/>
        <v>249.6</v>
      </c>
      <c r="L29" s="15">
        <f t="shared" si="18"/>
        <v>219.6</v>
      </c>
      <c r="M29" s="14" t="s">
        <v>84</v>
      </c>
      <c r="N29" s="14" t="s">
        <v>87</v>
      </c>
      <c r="O29" s="14">
        <v>81</v>
      </c>
      <c r="P29" s="14" t="s">
        <v>17</v>
      </c>
      <c r="Q29" s="14" t="s">
        <v>17</v>
      </c>
      <c r="R29" s="14">
        <f t="shared" si="13"/>
        <v>33.75</v>
      </c>
      <c r="S29" s="14">
        <v>0</v>
      </c>
      <c r="T29" s="17">
        <f t="shared" si="0"/>
        <v>1.0410477796076936</v>
      </c>
      <c r="U29" s="18">
        <f t="shared" si="1"/>
        <v>28.864403924515667</v>
      </c>
      <c r="V29" s="19">
        <v>1</v>
      </c>
      <c r="W29" s="19">
        <v>1</v>
      </c>
      <c r="X29" s="19">
        <v>1</v>
      </c>
      <c r="Y29" s="19">
        <v>2</v>
      </c>
      <c r="Z29" s="19">
        <v>3</v>
      </c>
      <c r="AA29" s="19">
        <v>4</v>
      </c>
      <c r="AB29" s="15">
        <f t="shared" si="2"/>
        <v>5789.7773318137142</v>
      </c>
      <c r="AC29" s="15">
        <f t="shared" si="3"/>
        <v>428.872394949164</v>
      </c>
      <c r="AD29" s="15">
        <f t="shared" si="4"/>
        <v>483.99681749306421</v>
      </c>
      <c r="AE29" s="20">
        <f t="shared" si="5"/>
        <v>11.225655876156152</v>
      </c>
      <c r="AF29" s="20">
        <f t="shared" si="6"/>
        <v>22.138216529422966</v>
      </c>
      <c r="AG29" s="18">
        <f t="shared" si="7"/>
        <v>419.86798694051402</v>
      </c>
      <c r="AH29" s="18">
        <f t="shared" si="8"/>
        <v>62.202664731928003</v>
      </c>
      <c r="AI29" s="20">
        <f t="shared" si="9"/>
        <v>96.950136248844018</v>
      </c>
      <c r="AJ29" s="20">
        <f t="shared" si="10"/>
        <v>3.0229932356647304</v>
      </c>
      <c r="AK29" s="20">
        <f t="shared" si="14"/>
        <v>44.573593128807147</v>
      </c>
      <c r="AL29" s="21">
        <f t="shared" si="15"/>
        <v>15.944797522382753</v>
      </c>
      <c r="AM29" s="21">
        <f t="shared" si="16"/>
        <v>70.577867001375012</v>
      </c>
      <c r="AN29" s="22" t="s">
        <v>17</v>
      </c>
      <c r="AO29" s="22" t="s">
        <v>17</v>
      </c>
      <c r="AP29" s="22" t="s">
        <v>17</v>
      </c>
      <c r="AQ29" s="22" t="s">
        <v>17</v>
      </c>
      <c r="AR29" s="22" t="s">
        <v>17</v>
      </c>
      <c r="AS29" s="22" t="s">
        <v>17</v>
      </c>
      <c r="AT29" s="22" t="s">
        <v>17</v>
      </c>
      <c r="AU29" s="22" t="s">
        <v>17</v>
      </c>
    </row>
    <row r="30" spans="1:47" ht="15.75" x14ac:dyDescent="0.3">
      <c r="A30" s="12" t="s">
        <v>88</v>
      </c>
      <c r="B30" s="13">
        <v>274</v>
      </c>
      <c r="C30" s="13">
        <v>136</v>
      </c>
      <c r="D30" s="13">
        <v>7.5</v>
      </c>
      <c r="E30" s="13">
        <v>12.2</v>
      </c>
      <c r="F30" s="13">
        <v>15</v>
      </c>
      <c r="G30" s="14" t="s">
        <v>17</v>
      </c>
      <c r="H30" s="15">
        <f t="shared" si="11"/>
        <v>42.260801975597026</v>
      </c>
      <c r="I30" s="15">
        <f t="shared" si="12"/>
        <v>53.835416529422965</v>
      </c>
      <c r="J30" s="16" t="s">
        <v>17</v>
      </c>
      <c r="K30" s="15">
        <f t="shared" si="17"/>
        <v>249.6</v>
      </c>
      <c r="L30" s="15">
        <f t="shared" si="18"/>
        <v>219.6</v>
      </c>
      <c r="M30" s="14" t="s">
        <v>84</v>
      </c>
      <c r="N30" s="14" t="s">
        <v>89</v>
      </c>
      <c r="O30" s="14">
        <v>82</v>
      </c>
      <c r="P30" s="14" t="s">
        <v>17</v>
      </c>
      <c r="Q30" s="14" t="s">
        <v>17</v>
      </c>
      <c r="R30" s="14">
        <f t="shared" si="13"/>
        <v>34</v>
      </c>
      <c r="S30" s="14">
        <v>0</v>
      </c>
      <c r="T30" s="17">
        <f t="shared" si="0"/>
        <v>1.0512477796076938</v>
      </c>
      <c r="U30" s="18">
        <f t="shared" si="1"/>
        <v>24.875244445543736</v>
      </c>
      <c r="V30" s="19">
        <v>1</v>
      </c>
      <c r="W30" s="19">
        <v>1</v>
      </c>
      <c r="X30" s="19">
        <v>1</v>
      </c>
      <c r="Y30" s="19">
        <v>1</v>
      </c>
      <c r="Z30" s="19">
        <v>2</v>
      </c>
      <c r="AA30" s="19">
        <v>3</v>
      </c>
      <c r="AB30" s="15">
        <f t="shared" si="2"/>
        <v>6947.0444318670479</v>
      </c>
      <c r="AC30" s="15">
        <f t="shared" si="3"/>
        <v>507.08353517277726</v>
      </c>
      <c r="AD30" s="15">
        <f t="shared" si="4"/>
        <v>574.64831349306417</v>
      </c>
      <c r="AE30" s="20">
        <f t="shared" si="5"/>
        <v>11.359677434736971</v>
      </c>
      <c r="AF30" s="20">
        <f t="shared" si="6"/>
        <v>25.22641652942297</v>
      </c>
      <c r="AG30" s="18">
        <f t="shared" si="7"/>
        <v>513.47932135144731</v>
      </c>
      <c r="AH30" s="18">
        <f t="shared" si="8"/>
        <v>75.51166490462461</v>
      </c>
      <c r="AI30" s="20">
        <f t="shared" si="9"/>
        <v>117.70700599266806</v>
      </c>
      <c r="AJ30" s="20">
        <f t="shared" si="10"/>
        <v>3.0883565978753951</v>
      </c>
      <c r="AK30" s="20">
        <f t="shared" si="14"/>
        <v>49.473593128807146</v>
      </c>
      <c r="AL30" s="21">
        <f t="shared" si="15"/>
        <v>24.896746385168743</v>
      </c>
      <c r="AM30" s="21">
        <f t="shared" si="16"/>
        <v>87.640449934165346</v>
      </c>
      <c r="AN30" s="22" t="s">
        <v>17</v>
      </c>
      <c r="AO30" s="22" t="s">
        <v>17</v>
      </c>
      <c r="AP30" s="22" t="s">
        <v>17</v>
      </c>
      <c r="AQ30" s="22" t="s">
        <v>17</v>
      </c>
      <c r="AR30" s="22" t="s">
        <v>17</v>
      </c>
      <c r="AS30" s="22" t="s">
        <v>17</v>
      </c>
      <c r="AT30" s="22" t="s">
        <v>17</v>
      </c>
      <c r="AU30" s="22" t="s">
        <v>17</v>
      </c>
    </row>
    <row r="31" spans="1:47" ht="15.75" x14ac:dyDescent="0.3">
      <c r="A31" s="12" t="s">
        <v>90</v>
      </c>
      <c r="B31" s="13">
        <v>297</v>
      </c>
      <c r="C31" s="13">
        <v>150</v>
      </c>
      <c r="D31" s="13">
        <v>6.1</v>
      </c>
      <c r="E31" s="13">
        <v>9.1999999999999993</v>
      </c>
      <c r="F31" s="13">
        <v>15</v>
      </c>
      <c r="G31" s="14" t="s">
        <v>17</v>
      </c>
      <c r="H31" s="15">
        <f t="shared" si="11"/>
        <v>36.522922975597034</v>
      </c>
      <c r="I31" s="15">
        <f t="shared" si="12"/>
        <v>46.526016529422968</v>
      </c>
      <c r="J31" s="16" t="s">
        <v>17</v>
      </c>
      <c r="K31" s="15">
        <f t="shared" si="17"/>
        <v>278.60000000000002</v>
      </c>
      <c r="L31" s="15">
        <f t="shared" si="18"/>
        <v>248.60000000000002</v>
      </c>
      <c r="M31" s="14" t="s">
        <v>91</v>
      </c>
      <c r="N31" s="14">
        <v>76</v>
      </c>
      <c r="O31" s="14">
        <v>84</v>
      </c>
      <c r="P31" s="14" t="s">
        <v>17</v>
      </c>
      <c r="Q31" s="14" t="s">
        <v>17</v>
      </c>
      <c r="R31" s="14">
        <f t="shared" si="13"/>
        <v>37.5</v>
      </c>
      <c r="S31" s="14">
        <v>0</v>
      </c>
      <c r="T31" s="17">
        <f t="shared" si="0"/>
        <v>1.1560477796076936</v>
      </c>
      <c r="U31" s="18">
        <f t="shared" si="1"/>
        <v>31.652663188543603</v>
      </c>
      <c r="V31" s="19">
        <v>1</v>
      </c>
      <c r="W31" s="19">
        <v>2</v>
      </c>
      <c r="X31" s="19">
        <v>3</v>
      </c>
      <c r="Y31" s="19">
        <v>3</v>
      </c>
      <c r="Z31" s="19">
        <v>4</v>
      </c>
      <c r="AA31" s="19">
        <v>4</v>
      </c>
      <c r="AB31" s="15">
        <f t="shared" si="2"/>
        <v>7173.4909112743762</v>
      </c>
      <c r="AC31" s="15">
        <f t="shared" si="3"/>
        <v>483.06336102857756</v>
      </c>
      <c r="AD31" s="15">
        <f t="shared" si="4"/>
        <v>541.78889646072741</v>
      </c>
      <c r="AE31" s="20">
        <f t="shared" si="5"/>
        <v>12.417018863246557</v>
      </c>
      <c r="AF31" s="20">
        <f t="shared" si="6"/>
        <v>22.247216529422968</v>
      </c>
      <c r="AG31" s="18">
        <f t="shared" si="7"/>
        <v>518.97019790018066</v>
      </c>
      <c r="AH31" s="18">
        <f t="shared" si="8"/>
        <v>69.196026386690761</v>
      </c>
      <c r="AI31" s="20">
        <f t="shared" si="9"/>
        <v>107.32788333560843</v>
      </c>
      <c r="AJ31" s="20">
        <f t="shared" si="10"/>
        <v>3.3398216387287016</v>
      </c>
      <c r="AK31" s="20">
        <f t="shared" si="14"/>
        <v>42.073593128807147</v>
      </c>
      <c r="AL31" s="21">
        <f t="shared" si="15"/>
        <v>13.434998895155609</v>
      </c>
      <c r="AM31" s="23">
        <f t="shared" si="16"/>
        <v>107.15981175</v>
      </c>
      <c r="AN31" s="22" t="s">
        <v>17</v>
      </c>
      <c r="AO31" s="22" t="s">
        <v>17</v>
      </c>
      <c r="AP31" s="22" t="s">
        <v>17</v>
      </c>
      <c r="AQ31" s="22" t="s">
        <v>17</v>
      </c>
      <c r="AR31" s="22" t="s">
        <v>17</v>
      </c>
      <c r="AS31" s="22" t="s">
        <v>17</v>
      </c>
      <c r="AT31" s="22" t="s">
        <v>17</v>
      </c>
      <c r="AU31" s="22" t="s">
        <v>17</v>
      </c>
    </row>
    <row r="32" spans="1:47" ht="15.75" x14ac:dyDescent="0.3">
      <c r="A32" s="12" t="s">
        <v>92</v>
      </c>
      <c r="B32" s="13">
        <v>300</v>
      </c>
      <c r="C32" s="13">
        <v>150</v>
      </c>
      <c r="D32" s="13">
        <v>7.1</v>
      </c>
      <c r="E32" s="13">
        <v>10.7</v>
      </c>
      <c r="F32" s="13">
        <v>15</v>
      </c>
      <c r="G32" s="14" t="s">
        <v>17</v>
      </c>
      <c r="H32" s="15">
        <f t="shared" si="11"/>
        <v>42.242432975597033</v>
      </c>
      <c r="I32" s="15">
        <f t="shared" si="12"/>
        <v>53.812016529422969</v>
      </c>
      <c r="J32" s="16" t="s">
        <v>17</v>
      </c>
      <c r="K32" s="15">
        <f t="shared" si="17"/>
        <v>278.60000000000002</v>
      </c>
      <c r="L32" s="15">
        <f t="shared" si="18"/>
        <v>248.60000000000002</v>
      </c>
      <c r="M32" s="14" t="s">
        <v>91</v>
      </c>
      <c r="N32" s="14">
        <v>77</v>
      </c>
      <c r="O32" s="14">
        <v>84</v>
      </c>
      <c r="P32" s="14" t="s">
        <v>17</v>
      </c>
      <c r="Q32" s="14" t="s">
        <v>17</v>
      </c>
      <c r="R32" s="14">
        <f t="shared" si="13"/>
        <v>37.5</v>
      </c>
      <c r="S32" s="14">
        <v>0</v>
      </c>
      <c r="T32" s="17">
        <f t="shared" si="0"/>
        <v>1.1600477796076936</v>
      </c>
      <c r="U32" s="18">
        <f t="shared" si="1"/>
        <v>27.461670597378703</v>
      </c>
      <c r="V32" s="19">
        <v>1</v>
      </c>
      <c r="W32" s="19">
        <v>1</v>
      </c>
      <c r="X32" s="19">
        <v>1</v>
      </c>
      <c r="Y32" s="19">
        <v>2</v>
      </c>
      <c r="Z32" s="19">
        <v>4</v>
      </c>
      <c r="AA32" s="19">
        <v>4</v>
      </c>
      <c r="AB32" s="15">
        <f t="shared" si="2"/>
        <v>8356.1026917410436</v>
      </c>
      <c r="AC32" s="15">
        <f t="shared" si="3"/>
        <v>557.0735127827362</v>
      </c>
      <c r="AD32" s="15">
        <f t="shared" si="4"/>
        <v>628.35588646072745</v>
      </c>
      <c r="AE32" s="20">
        <f t="shared" si="5"/>
        <v>12.46126841574463</v>
      </c>
      <c r="AF32" s="20">
        <f t="shared" si="6"/>
        <v>25.681716529422967</v>
      </c>
      <c r="AG32" s="18">
        <f t="shared" si="7"/>
        <v>603.77763113084734</v>
      </c>
      <c r="AH32" s="18">
        <f t="shared" si="8"/>
        <v>80.503684150779648</v>
      </c>
      <c r="AI32" s="20">
        <f t="shared" si="9"/>
        <v>125.2188341620796</v>
      </c>
      <c r="AJ32" s="20">
        <f t="shared" si="10"/>
        <v>3.3496457232381669</v>
      </c>
      <c r="AK32" s="20">
        <f t="shared" si="14"/>
        <v>46.073593128807147</v>
      </c>
      <c r="AL32" s="21">
        <f t="shared" si="15"/>
        <v>20.118495779439325</v>
      </c>
      <c r="AM32" s="23">
        <f t="shared" si="16"/>
        <v>125.93405292187499</v>
      </c>
      <c r="AN32" s="22" t="s">
        <v>17</v>
      </c>
      <c r="AO32" s="22" t="s">
        <v>17</v>
      </c>
      <c r="AP32" s="22" t="s">
        <v>17</v>
      </c>
      <c r="AQ32" s="22" t="s">
        <v>17</v>
      </c>
      <c r="AR32" s="22" t="s">
        <v>17</v>
      </c>
      <c r="AS32" s="22" t="s">
        <v>17</v>
      </c>
      <c r="AT32" s="22" t="s">
        <v>17</v>
      </c>
      <c r="AU32" s="22" t="s">
        <v>17</v>
      </c>
    </row>
    <row r="33" spans="1:47" ht="15.75" x14ac:dyDescent="0.3">
      <c r="A33" s="12" t="s">
        <v>93</v>
      </c>
      <c r="B33" s="13">
        <v>304</v>
      </c>
      <c r="C33" s="13">
        <v>152</v>
      </c>
      <c r="D33" s="13">
        <v>8</v>
      </c>
      <c r="E33" s="13">
        <v>12.7</v>
      </c>
      <c r="F33" s="13">
        <v>15</v>
      </c>
      <c r="G33" s="14" t="s">
        <v>17</v>
      </c>
      <c r="H33" s="15">
        <f t="shared" si="11"/>
        <v>49.319521975597034</v>
      </c>
      <c r="I33" s="15">
        <f t="shared" si="12"/>
        <v>62.827416529422969</v>
      </c>
      <c r="J33" s="16" t="s">
        <v>17</v>
      </c>
      <c r="K33" s="15">
        <f t="shared" si="17"/>
        <v>278.60000000000002</v>
      </c>
      <c r="L33" s="15">
        <f t="shared" si="18"/>
        <v>248.60000000000002</v>
      </c>
      <c r="M33" s="14" t="s">
        <v>91</v>
      </c>
      <c r="N33" s="14">
        <v>78</v>
      </c>
      <c r="O33" s="14">
        <v>86</v>
      </c>
      <c r="P33" s="14" t="s">
        <v>17</v>
      </c>
      <c r="Q33" s="14" t="s">
        <v>17</v>
      </c>
      <c r="R33" s="14">
        <f t="shared" si="13"/>
        <v>38</v>
      </c>
      <c r="S33" s="14">
        <v>0</v>
      </c>
      <c r="T33" s="17">
        <f t="shared" si="0"/>
        <v>1.1742477796076938</v>
      </c>
      <c r="U33" s="18">
        <f t="shared" si="1"/>
        <v>23.808985419378224</v>
      </c>
      <c r="V33" s="19">
        <v>1</v>
      </c>
      <c r="W33" s="19">
        <v>1</v>
      </c>
      <c r="X33" s="19">
        <v>1</v>
      </c>
      <c r="Y33" s="19">
        <v>1</v>
      </c>
      <c r="Z33" s="19">
        <v>3</v>
      </c>
      <c r="AA33" s="19">
        <v>4</v>
      </c>
      <c r="AB33" s="15">
        <f t="shared" si="2"/>
        <v>9994.200424894374</v>
      </c>
      <c r="AC33" s="15">
        <f t="shared" si="3"/>
        <v>657.51318584831415</v>
      </c>
      <c r="AD33" s="15">
        <f t="shared" si="4"/>
        <v>743.81894746072749</v>
      </c>
      <c r="AE33" s="20">
        <f t="shared" si="5"/>
        <v>12.612449094288502</v>
      </c>
      <c r="AF33" s="20">
        <f t="shared" si="6"/>
        <v>29.045416529422972</v>
      </c>
      <c r="AG33" s="18">
        <f t="shared" si="7"/>
        <v>745.71693616678067</v>
      </c>
      <c r="AH33" s="18">
        <f t="shared" si="8"/>
        <v>98.120649495629038</v>
      </c>
      <c r="AI33" s="20">
        <f t="shared" si="9"/>
        <v>152.58769140590363</v>
      </c>
      <c r="AJ33" s="20">
        <f t="shared" si="10"/>
        <v>3.4451838473045129</v>
      </c>
      <c r="AK33" s="20">
        <f t="shared" si="14"/>
        <v>50.973593128807146</v>
      </c>
      <c r="AL33" s="21">
        <f t="shared" si="15"/>
        <v>31.057328591854056</v>
      </c>
      <c r="AM33" s="23">
        <f t="shared" si="16"/>
        <v>157.69002148089601</v>
      </c>
      <c r="AN33" s="22" t="s">
        <v>17</v>
      </c>
      <c r="AO33" s="22" t="s">
        <v>17</v>
      </c>
      <c r="AP33" s="22" t="s">
        <v>17</v>
      </c>
      <c r="AQ33" s="22" t="s">
        <v>17</v>
      </c>
      <c r="AR33" s="22" t="s">
        <v>17</v>
      </c>
      <c r="AS33" s="22" t="s">
        <v>17</v>
      </c>
      <c r="AT33" s="22" t="s">
        <v>17</v>
      </c>
      <c r="AU33" s="22" t="s">
        <v>17</v>
      </c>
    </row>
    <row r="34" spans="1:47" ht="15.75" x14ac:dyDescent="0.3">
      <c r="A34" s="12" t="s">
        <v>94</v>
      </c>
      <c r="B34" s="13">
        <v>327</v>
      </c>
      <c r="C34" s="13">
        <v>160</v>
      </c>
      <c r="D34" s="13">
        <v>6.5</v>
      </c>
      <c r="E34" s="13">
        <v>10</v>
      </c>
      <c r="F34" s="13">
        <v>18</v>
      </c>
      <c r="G34" s="14" t="s">
        <v>17</v>
      </c>
      <c r="H34" s="15">
        <f t="shared" si="11"/>
        <v>42.96794824485972</v>
      </c>
      <c r="I34" s="15">
        <f t="shared" si="12"/>
        <v>54.73623980236907</v>
      </c>
      <c r="J34" s="16" t="s">
        <v>17</v>
      </c>
      <c r="K34" s="15">
        <f t="shared" si="17"/>
        <v>307</v>
      </c>
      <c r="L34" s="15">
        <f t="shared" si="18"/>
        <v>271</v>
      </c>
      <c r="M34" s="14" t="s">
        <v>95</v>
      </c>
      <c r="N34" s="14">
        <v>87</v>
      </c>
      <c r="O34" s="14">
        <v>88</v>
      </c>
      <c r="P34" s="14" t="s">
        <v>17</v>
      </c>
      <c r="Q34" s="14" t="s">
        <v>17</v>
      </c>
      <c r="R34" s="14">
        <f t="shared" si="13"/>
        <v>40</v>
      </c>
      <c r="S34" s="14">
        <v>0</v>
      </c>
      <c r="T34" s="17">
        <f t="shared" si="0"/>
        <v>1.2500973355292326</v>
      </c>
      <c r="U34" s="18">
        <f t="shared" si="1"/>
        <v>29.093717214639927</v>
      </c>
      <c r="V34" s="19">
        <v>1</v>
      </c>
      <c r="W34" s="19">
        <v>1</v>
      </c>
      <c r="X34" s="19">
        <v>3</v>
      </c>
      <c r="Y34" s="19">
        <v>3</v>
      </c>
      <c r="Z34" s="19">
        <v>4</v>
      </c>
      <c r="AA34" s="19">
        <v>4</v>
      </c>
      <c r="AB34" s="15">
        <f t="shared" si="2"/>
        <v>10230.816369653421</v>
      </c>
      <c r="AC34" s="15">
        <f t="shared" si="3"/>
        <v>625.73800426014805</v>
      </c>
      <c r="AD34" s="15">
        <f t="shared" si="4"/>
        <v>701.92842432210091</v>
      </c>
      <c r="AE34" s="20">
        <f t="shared" si="5"/>
        <v>13.671547166026901</v>
      </c>
      <c r="AF34" s="20">
        <f t="shared" si="6"/>
        <v>26.98623980236907</v>
      </c>
      <c r="AG34" s="18">
        <f t="shared" si="7"/>
        <v>685.1546155762145</v>
      </c>
      <c r="AH34" s="18">
        <f t="shared" si="8"/>
        <v>85.644326947026812</v>
      </c>
      <c r="AI34" s="20">
        <f t="shared" si="9"/>
        <v>133.26482208003429</v>
      </c>
      <c r="AJ34" s="20">
        <f t="shared" si="10"/>
        <v>3.5379917355755683</v>
      </c>
      <c r="AK34" s="20">
        <f t="shared" si="14"/>
        <v>47.588311754568579</v>
      </c>
      <c r="AL34" s="21">
        <f t="shared" si="15"/>
        <v>19.572397427403793</v>
      </c>
      <c r="AM34" s="23">
        <f t="shared" si="16"/>
        <v>171.50122666666667</v>
      </c>
      <c r="AN34" s="22" t="s">
        <v>17</v>
      </c>
      <c r="AO34" s="22" t="s">
        <v>17</v>
      </c>
      <c r="AP34" s="22" t="s">
        <v>17</v>
      </c>
      <c r="AQ34" s="22" t="s">
        <v>17</v>
      </c>
      <c r="AR34" s="22" t="s">
        <v>17</v>
      </c>
      <c r="AS34" s="22" t="s">
        <v>17</v>
      </c>
      <c r="AT34" s="22" t="s">
        <v>17</v>
      </c>
      <c r="AU34" s="22" t="s">
        <v>17</v>
      </c>
    </row>
    <row r="35" spans="1:47" ht="15.75" x14ac:dyDescent="0.3">
      <c r="A35" s="12" t="s">
        <v>96</v>
      </c>
      <c r="B35" s="13">
        <v>330</v>
      </c>
      <c r="C35" s="13">
        <v>160</v>
      </c>
      <c r="D35" s="13">
        <v>7.5</v>
      </c>
      <c r="E35" s="13">
        <v>11.5</v>
      </c>
      <c r="F35" s="13">
        <v>18</v>
      </c>
      <c r="G35" s="14" t="s">
        <v>17</v>
      </c>
      <c r="H35" s="15">
        <f t="shared" si="11"/>
        <v>49.145898244859723</v>
      </c>
      <c r="I35" s="15">
        <f t="shared" si="12"/>
        <v>62.606239802369075</v>
      </c>
      <c r="J35" s="16" t="s">
        <v>17</v>
      </c>
      <c r="K35" s="15">
        <f t="shared" si="17"/>
        <v>307</v>
      </c>
      <c r="L35" s="15">
        <f t="shared" si="18"/>
        <v>271</v>
      </c>
      <c r="M35" s="14" t="s">
        <v>95</v>
      </c>
      <c r="N35" s="14">
        <v>88</v>
      </c>
      <c r="O35" s="14">
        <v>88</v>
      </c>
      <c r="P35" s="14" t="s">
        <v>17</v>
      </c>
      <c r="Q35" s="14" t="s">
        <v>17</v>
      </c>
      <c r="R35" s="14">
        <f t="shared" si="13"/>
        <v>40</v>
      </c>
      <c r="S35" s="14">
        <v>0</v>
      </c>
      <c r="T35" s="17">
        <f t="shared" si="0"/>
        <v>1.2540973355292326</v>
      </c>
      <c r="U35" s="18">
        <f t="shared" si="1"/>
        <v>25.517843407418063</v>
      </c>
      <c r="V35" s="19">
        <v>1</v>
      </c>
      <c r="W35" s="19">
        <v>1</v>
      </c>
      <c r="X35" s="19">
        <v>1</v>
      </c>
      <c r="Y35" s="19">
        <v>2</v>
      </c>
      <c r="Z35" s="19">
        <v>4</v>
      </c>
      <c r="AA35" s="19">
        <v>4</v>
      </c>
      <c r="AB35" s="15">
        <f t="shared" si="2"/>
        <v>11766.892727986757</v>
      </c>
      <c r="AC35" s="15">
        <f t="shared" si="3"/>
        <v>713.14501381737921</v>
      </c>
      <c r="AD35" s="15">
        <f t="shared" si="4"/>
        <v>804.33067432210089</v>
      </c>
      <c r="AE35" s="20">
        <f t="shared" si="5"/>
        <v>13.709514869524229</v>
      </c>
      <c r="AF35" s="20">
        <f t="shared" si="6"/>
        <v>30.808739802369075</v>
      </c>
      <c r="AG35" s="18">
        <f t="shared" si="7"/>
        <v>788.14051097733989</v>
      </c>
      <c r="AH35" s="18">
        <f t="shared" si="8"/>
        <v>98.517563872167486</v>
      </c>
      <c r="AI35" s="20">
        <f t="shared" si="9"/>
        <v>153.67838407015273</v>
      </c>
      <c r="AJ35" s="20">
        <f t="shared" si="10"/>
        <v>3.5480768292194811</v>
      </c>
      <c r="AK35" s="20">
        <f t="shared" si="14"/>
        <v>51.588311754568579</v>
      </c>
      <c r="AL35" s="21">
        <f t="shared" si="15"/>
        <v>28.145289962495021</v>
      </c>
      <c r="AM35" s="23">
        <f t="shared" si="16"/>
        <v>199.09732266666666</v>
      </c>
      <c r="AN35" s="22" t="s">
        <v>17</v>
      </c>
      <c r="AO35" s="22" t="s">
        <v>17</v>
      </c>
      <c r="AP35" s="22" t="s">
        <v>17</v>
      </c>
      <c r="AQ35" s="22" t="s">
        <v>17</v>
      </c>
      <c r="AR35" s="22" t="s">
        <v>17</v>
      </c>
      <c r="AS35" s="22" t="s">
        <v>17</v>
      </c>
      <c r="AT35" s="22" t="s">
        <v>17</v>
      </c>
      <c r="AU35" s="22" t="s">
        <v>17</v>
      </c>
    </row>
    <row r="36" spans="1:47" ht="15.75" x14ac:dyDescent="0.3">
      <c r="A36" s="12" t="s">
        <v>97</v>
      </c>
      <c r="B36" s="13">
        <v>334</v>
      </c>
      <c r="C36" s="13">
        <v>162</v>
      </c>
      <c r="D36" s="13">
        <v>8.5</v>
      </c>
      <c r="E36" s="13">
        <v>13.5</v>
      </c>
      <c r="F36" s="13">
        <v>18</v>
      </c>
      <c r="G36" s="14" t="s">
        <v>17</v>
      </c>
      <c r="H36" s="15">
        <f t="shared" si="11"/>
        <v>57.003748244859729</v>
      </c>
      <c r="I36" s="15">
        <f t="shared" si="12"/>
        <v>72.61623980236908</v>
      </c>
      <c r="J36" s="16" t="s">
        <v>17</v>
      </c>
      <c r="K36" s="15">
        <f t="shared" si="17"/>
        <v>307</v>
      </c>
      <c r="L36" s="15">
        <f t="shared" si="18"/>
        <v>271</v>
      </c>
      <c r="M36" s="14" t="s">
        <v>95</v>
      </c>
      <c r="N36" s="14">
        <v>89</v>
      </c>
      <c r="O36" s="14">
        <v>90</v>
      </c>
      <c r="P36" s="14" t="s">
        <v>17</v>
      </c>
      <c r="Q36" s="14" t="s">
        <v>17</v>
      </c>
      <c r="R36" s="14">
        <f t="shared" si="13"/>
        <v>40.5</v>
      </c>
      <c r="S36" s="14">
        <v>0</v>
      </c>
      <c r="T36" s="17">
        <f t="shared" si="0"/>
        <v>1.2680973355292326</v>
      </c>
      <c r="U36" s="18">
        <f t="shared" si="1"/>
        <v>22.245858817601217</v>
      </c>
      <c r="V36" s="19">
        <v>1</v>
      </c>
      <c r="W36" s="19">
        <v>1</v>
      </c>
      <c r="X36" s="19">
        <v>1</v>
      </c>
      <c r="Y36" s="19">
        <v>1</v>
      </c>
      <c r="Z36" s="19">
        <v>3</v>
      </c>
      <c r="AA36" s="19">
        <v>4</v>
      </c>
      <c r="AB36" s="15">
        <f t="shared" si="2"/>
        <v>13910.372769653422</v>
      </c>
      <c r="AC36" s="15">
        <f t="shared" si="3"/>
        <v>832.95645327266004</v>
      </c>
      <c r="AD36" s="15">
        <f t="shared" si="4"/>
        <v>942.78642432210097</v>
      </c>
      <c r="AE36" s="20">
        <f t="shared" si="5"/>
        <v>13.840523143247236</v>
      </c>
      <c r="AF36" s="20">
        <f t="shared" si="6"/>
        <v>34.883739802369078</v>
      </c>
      <c r="AG36" s="18">
        <f t="shared" si="7"/>
        <v>960.38257079179846</v>
      </c>
      <c r="AH36" s="18">
        <f t="shared" si="8"/>
        <v>118.56574948046895</v>
      </c>
      <c r="AI36" s="20">
        <f t="shared" si="9"/>
        <v>184.99244606027116</v>
      </c>
      <c r="AJ36" s="20">
        <f t="shared" si="10"/>
        <v>3.6366814104906702</v>
      </c>
      <c r="AK36" s="20">
        <f t="shared" si="14"/>
        <v>56.588311754568579</v>
      </c>
      <c r="AL36" s="21">
        <f t="shared" si="15"/>
        <v>42.153223630408782</v>
      </c>
      <c r="AM36" s="23">
        <f t="shared" si="16"/>
        <v>245.65388571112499</v>
      </c>
      <c r="AN36" s="22" t="s">
        <v>17</v>
      </c>
      <c r="AO36" s="22" t="s">
        <v>17</v>
      </c>
      <c r="AP36" s="22" t="s">
        <v>17</v>
      </c>
      <c r="AQ36" s="22" t="s">
        <v>17</v>
      </c>
      <c r="AR36" s="22" t="s">
        <v>17</v>
      </c>
      <c r="AS36" s="22" t="s">
        <v>17</v>
      </c>
      <c r="AT36" s="22" t="s">
        <v>17</v>
      </c>
      <c r="AU36" s="22" t="s">
        <v>17</v>
      </c>
    </row>
    <row r="37" spans="1:47" ht="15.75" x14ac:dyDescent="0.3">
      <c r="A37" s="12" t="s">
        <v>98</v>
      </c>
      <c r="B37" s="13">
        <v>357.6</v>
      </c>
      <c r="C37" s="13">
        <v>170</v>
      </c>
      <c r="D37" s="13">
        <v>6.6</v>
      </c>
      <c r="E37" s="13">
        <v>11.5</v>
      </c>
      <c r="F37" s="13">
        <v>18</v>
      </c>
      <c r="G37" s="14" t="s">
        <v>17</v>
      </c>
      <c r="H37" s="15">
        <f t="shared" si="11"/>
        <v>50.212399244859725</v>
      </c>
      <c r="I37" s="15">
        <f t="shared" si="12"/>
        <v>63.964839802369077</v>
      </c>
      <c r="J37" s="16" t="s">
        <v>17</v>
      </c>
      <c r="K37" s="15">
        <f t="shared" si="17"/>
        <v>334.6</v>
      </c>
      <c r="L37" s="15">
        <f t="shared" si="18"/>
        <v>298.60000000000002</v>
      </c>
      <c r="M37" s="14" t="s">
        <v>99</v>
      </c>
      <c r="N37" s="14" t="s">
        <v>100</v>
      </c>
      <c r="O37" s="14">
        <v>92</v>
      </c>
      <c r="P37" s="14" t="s">
        <v>17</v>
      </c>
      <c r="Q37" s="14" t="s">
        <v>17</v>
      </c>
      <c r="R37" s="14">
        <f t="shared" si="13"/>
        <v>42.5</v>
      </c>
      <c r="S37" s="14">
        <v>0</v>
      </c>
      <c r="T37" s="17">
        <f t="shared" si="0"/>
        <v>1.3510973355292326</v>
      </c>
      <c r="U37" s="18">
        <f t="shared" si="1"/>
        <v>26.907643447600151</v>
      </c>
      <c r="V37" s="19">
        <v>1</v>
      </c>
      <c r="W37" s="19">
        <v>1</v>
      </c>
      <c r="X37" s="19">
        <v>2</v>
      </c>
      <c r="Y37" s="19">
        <v>4</v>
      </c>
      <c r="Z37" s="19">
        <v>4</v>
      </c>
      <c r="AA37" s="19">
        <v>4</v>
      </c>
      <c r="AB37" s="15">
        <f t="shared" si="2"/>
        <v>14515.447221524761</v>
      </c>
      <c r="AC37" s="15">
        <f t="shared" si="3"/>
        <v>811.82590724411398</v>
      </c>
      <c r="AD37" s="15">
        <f t="shared" si="4"/>
        <v>906.76672424937044</v>
      </c>
      <c r="AE37" s="20">
        <f t="shared" si="5"/>
        <v>15.06414725099177</v>
      </c>
      <c r="AF37" s="20">
        <f t="shared" si="6"/>
        <v>29.763839802369077</v>
      </c>
      <c r="AG37" s="18">
        <f t="shared" si="7"/>
        <v>944.26562693939354</v>
      </c>
      <c r="AH37" s="18">
        <f t="shared" si="8"/>
        <v>111.09007375757571</v>
      </c>
      <c r="AI37" s="20">
        <f t="shared" si="9"/>
        <v>171.85483477904612</v>
      </c>
      <c r="AJ37" s="20">
        <f t="shared" si="10"/>
        <v>3.8421687213560372</v>
      </c>
      <c r="AK37" s="20">
        <f t="shared" si="14"/>
        <v>50.688311754568574</v>
      </c>
      <c r="AL37" s="21">
        <f t="shared" si="15"/>
        <v>26.505520303545914</v>
      </c>
      <c r="AM37" s="23">
        <f t="shared" si="16"/>
        <v>281.99185301645838</v>
      </c>
      <c r="AN37" s="22" t="s">
        <v>17</v>
      </c>
      <c r="AO37" s="22" t="s">
        <v>17</v>
      </c>
      <c r="AP37" s="22" t="s">
        <v>17</v>
      </c>
      <c r="AQ37" s="22" t="s">
        <v>17</v>
      </c>
      <c r="AR37" s="22" t="s">
        <v>17</v>
      </c>
      <c r="AS37" s="22" t="s">
        <v>17</v>
      </c>
      <c r="AT37" s="22" t="s">
        <v>17</v>
      </c>
      <c r="AU37" s="22" t="s">
        <v>17</v>
      </c>
    </row>
    <row r="38" spans="1:47" ht="15.75" x14ac:dyDescent="0.3">
      <c r="A38" s="12" t="s">
        <v>101</v>
      </c>
      <c r="B38" s="13">
        <v>360</v>
      </c>
      <c r="C38" s="13">
        <v>170</v>
      </c>
      <c r="D38" s="13">
        <v>8</v>
      </c>
      <c r="E38" s="13">
        <v>12.7</v>
      </c>
      <c r="F38" s="13">
        <v>18</v>
      </c>
      <c r="G38" s="14" t="s">
        <v>17</v>
      </c>
      <c r="H38" s="15">
        <f t="shared" si="11"/>
        <v>57.092453244859726</v>
      </c>
      <c r="I38" s="15">
        <f t="shared" si="12"/>
        <v>72.729239802369079</v>
      </c>
      <c r="J38" s="16" t="s">
        <v>17</v>
      </c>
      <c r="K38" s="15">
        <f t="shared" si="17"/>
        <v>334.6</v>
      </c>
      <c r="L38" s="15">
        <f t="shared" si="18"/>
        <v>298.60000000000002</v>
      </c>
      <c r="M38" s="14" t="s">
        <v>99</v>
      </c>
      <c r="N38" s="14" t="s">
        <v>102</v>
      </c>
      <c r="O38" s="14">
        <v>92</v>
      </c>
      <c r="P38" s="14" t="s">
        <v>17</v>
      </c>
      <c r="Q38" s="14" t="s">
        <v>17</v>
      </c>
      <c r="R38" s="14">
        <f t="shared" si="13"/>
        <v>42.5</v>
      </c>
      <c r="S38" s="14">
        <v>0</v>
      </c>
      <c r="T38" s="17">
        <f t="shared" si="0"/>
        <v>1.3530973355292326</v>
      </c>
      <c r="U38" s="18">
        <f t="shared" si="1"/>
        <v>23.700108484146416</v>
      </c>
      <c r="V38" s="19">
        <v>1</v>
      </c>
      <c r="W38" s="19">
        <v>1</v>
      </c>
      <c r="X38" s="19">
        <v>1</v>
      </c>
      <c r="Y38" s="19">
        <v>2</v>
      </c>
      <c r="Z38" s="19">
        <v>4</v>
      </c>
      <c r="AA38" s="19">
        <v>4</v>
      </c>
      <c r="AB38" s="15">
        <f t="shared" si="2"/>
        <v>16265.61743911142</v>
      </c>
      <c r="AC38" s="15">
        <f t="shared" si="3"/>
        <v>903.64541328396774</v>
      </c>
      <c r="AD38" s="15">
        <f t="shared" si="4"/>
        <v>1019.1469302493703</v>
      </c>
      <c r="AE38" s="20">
        <f t="shared" si="5"/>
        <v>14.954804939084415</v>
      </c>
      <c r="AF38" s="20">
        <f t="shared" si="6"/>
        <v>35.137239802369081</v>
      </c>
      <c r="AG38" s="18">
        <f t="shared" si="7"/>
        <v>1043.4503126245691</v>
      </c>
      <c r="AH38" s="18">
        <f t="shared" si="8"/>
        <v>122.75886030877282</v>
      </c>
      <c r="AI38" s="20">
        <f t="shared" si="9"/>
        <v>191.09932756521198</v>
      </c>
      <c r="AJ38" s="20">
        <f t="shared" si="10"/>
        <v>3.7877504867362815</v>
      </c>
      <c r="AK38" s="20">
        <f t="shared" si="14"/>
        <v>54.488311754568571</v>
      </c>
      <c r="AL38" s="21">
        <f t="shared" si="15"/>
        <v>37.320927697764191</v>
      </c>
      <c r="AM38" s="23">
        <f t="shared" si="16"/>
        <v>313.58032796995832</v>
      </c>
      <c r="AN38" s="22" t="s">
        <v>17</v>
      </c>
      <c r="AO38" s="22" t="s">
        <v>17</v>
      </c>
      <c r="AP38" s="22" t="s">
        <v>17</v>
      </c>
      <c r="AQ38" s="22" t="s">
        <v>17</v>
      </c>
      <c r="AR38" s="22" t="s">
        <v>17</v>
      </c>
      <c r="AS38" s="22" t="s">
        <v>17</v>
      </c>
      <c r="AT38" s="22" t="s">
        <v>17</v>
      </c>
      <c r="AU38" s="22" t="s">
        <v>17</v>
      </c>
    </row>
    <row r="39" spans="1:47" ht="15.75" x14ac:dyDescent="0.3">
      <c r="A39" s="12" t="s">
        <v>103</v>
      </c>
      <c r="B39" s="13">
        <v>364</v>
      </c>
      <c r="C39" s="13">
        <v>172</v>
      </c>
      <c r="D39" s="13">
        <v>9.1999999999999993</v>
      </c>
      <c r="E39" s="13">
        <v>14.7</v>
      </c>
      <c r="F39" s="13">
        <v>18</v>
      </c>
      <c r="G39" s="14" t="s">
        <v>17</v>
      </c>
      <c r="H39" s="15">
        <f t="shared" si="11"/>
        <v>66.043965244859734</v>
      </c>
      <c r="I39" s="15">
        <f t="shared" si="12"/>
        <v>84.132439802369078</v>
      </c>
      <c r="J39" s="16" t="s">
        <v>17</v>
      </c>
      <c r="K39" s="15">
        <f t="shared" si="17"/>
        <v>334.6</v>
      </c>
      <c r="L39" s="15">
        <f t="shared" si="18"/>
        <v>298.60000000000002</v>
      </c>
      <c r="M39" s="14" t="s">
        <v>99</v>
      </c>
      <c r="N39" s="14" t="s">
        <v>104</v>
      </c>
      <c r="O39" s="14">
        <v>94</v>
      </c>
      <c r="P39" s="14" t="s">
        <v>17</v>
      </c>
      <c r="Q39" s="14" t="s">
        <v>17</v>
      </c>
      <c r="R39" s="14">
        <f t="shared" si="13"/>
        <v>43</v>
      </c>
      <c r="S39" s="14">
        <v>0</v>
      </c>
      <c r="T39" s="17">
        <f t="shared" si="0"/>
        <v>1.3666973355292324</v>
      </c>
      <c r="U39" s="18">
        <f t="shared" si="1"/>
        <v>20.693750450357822</v>
      </c>
      <c r="V39" s="19">
        <v>1</v>
      </c>
      <c r="W39" s="19">
        <v>1</v>
      </c>
      <c r="X39" s="19">
        <v>1</v>
      </c>
      <c r="Y39" s="19">
        <v>1</v>
      </c>
      <c r="Z39" s="19">
        <v>3</v>
      </c>
      <c r="AA39" s="19">
        <v>4</v>
      </c>
      <c r="AB39" s="15">
        <f t="shared" si="2"/>
        <v>19047.458067538082</v>
      </c>
      <c r="AC39" s="15">
        <f t="shared" si="3"/>
        <v>1046.5636300845101</v>
      </c>
      <c r="AD39" s="15">
        <f t="shared" si="4"/>
        <v>1186.0834982493702</v>
      </c>
      <c r="AE39" s="20">
        <f t="shared" si="5"/>
        <v>15.046544412298511</v>
      </c>
      <c r="AF39" s="20">
        <f t="shared" si="6"/>
        <v>40.20883980236907</v>
      </c>
      <c r="AG39" s="18">
        <f t="shared" si="7"/>
        <v>1251.223070986186</v>
      </c>
      <c r="AH39" s="18">
        <f t="shared" si="8"/>
        <v>145.4910547658356</v>
      </c>
      <c r="AI39" s="20">
        <f t="shared" si="9"/>
        <v>226.9201379533541</v>
      </c>
      <c r="AJ39" s="20">
        <f t="shared" si="10"/>
        <v>3.8564315754943306</v>
      </c>
      <c r="AK39" s="20">
        <f t="shared" si="14"/>
        <v>59.688311754568574</v>
      </c>
      <c r="AL39" s="21">
        <f t="shared" si="15"/>
        <v>55.758557143274494</v>
      </c>
      <c r="AM39" s="23">
        <f t="shared" si="16"/>
        <v>380.26697071445602</v>
      </c>
      <c r="AN39" s="22" t="s">
        <v>17</v>
      </c>
      <c r="AO39" s="22" t="s">
        <v>17</v>
      </c>
      <c r="AP39" s="22" t="s">
        <v>17</v>
      </c>
      <c r="AQ39" s="22" t="s">
        <v>17</v>
      </c>
      <c r="AR39" s="22" t="s">
        <v>17</v>
      </c>
      <c r="AS39" s="22" t="s">
        <v>17</v>
      </c>
      <c r="AT39" s="22" t="s">
        <v>17</v>
      </c>
      <c r="AU39" s="22" t="s">
        <v>17</v>
      </c>
    </row>
    <row r="40" spans="1:47" ht="15.75" x14ac:dyDescent="0.3">
      <c r="A40" s="12" t="s">
        <v>105</v>
      </c>
      <c r="B40" s="13">
        <v>397</v>
      </c>
      <c r="C40" s="13">
        <v>180</v>
      </c>
      <c r="D40" s="13">
        <v>7</v>
      </c>
      <c r="E40" s="13">
        <v>12</v>
      </c>
      <c r="F40" s="13">
        <v>21</v>
      </c>
      <c r="G40" s="14" t="s">
        <v>17</v>
      </c>
      <c r="H40" s="15">
        <f t="shared" si="11"/>
        <v>57.38002747217017</v>
      </c>
      <c r="I40" s="15">
        <f t="shared" si="12"/>
        <v>73.095576397669006</v>
      </c>
      <c r="J40" s="16" t="s">
        <v>17</v>
      </c>
      <c r="K40" s="15">
        <f t="shared" si="17"/>
        <v>373</v>
      </c>
      <c r="L40" s="15">
        <f t="shared" si="18"/>
        <v>331</v>
      </c>
      <c r="M40" s="14" t="s">
        <v>99</v>
      </c>
      <c r="N40" s="14" t="s">
        <v>106</v>
      </c>
      <c r="O40" s="14">
        <v>102</v>
      </c>
      <c r="P40" s="14" t="s">
        <v>17</v>
      </c>
      <c r="Q40" s="14" t="s">
        <v>17</v>
      </c>
      <c r="R40" s="14">
        <f t="shared" si="13"/>
        <v>45</v>
      </c>
      <c r="S40" s="14">
        <v>0</v>
      </c>
      <c r="T40" s="17">
        <f t="shared" si="0"/>
        <v>1.4639468914507714</v>
      </c>
      <c r="U40" s="18">
        <f t="shared" si="1"/>
        <v>25.513178643227363</v>
      </c>
      <c r="V40" s="19">
        <v>1</v>
      </c>
      <c r="W40" s="19">
        <v>1</v>
      </c>
      <c r="X40" s="19">
        <v>2</v>
      </c>
      <c r="Y40" s="19">
        <v>4</v>
      </c>
      <c r="Z40" s="19">
        <v>4</v>
      </c>
      <c r="AA40" s="19">
        <v>4</v>
      </c>
      <c r="AB40" s="15">
        <f t="shared" si="2"/>
        <v>20292.570209325386</v>
      </c>
      <c r="AC40" s="15">
        <f t="shared" si="3"/>
        <v>1022.2957284294904</v>
      </c>
      <c r="AD40" s="15">
        <f t="shared" si="4"/>
        <v>1143.9010393814222</v>
      </c>
      <c r="AE40" s="20">
        <f t="shared" si="5"/>
        <v>16.661840819183311</v>
      </c>
      <c r="AF40" s="20">
        <f t="shared" si="6"/>
        <v>35.775576397669006</v>
      </c>
      <c r="AG40" s="18">
        <f t="shared" si="7"/>
        <v>1170.589664787464</v>
      </c>
      <c r="AH40" s="18">
        <f t="shared" si="8"/>
        <v>130.06551830971821</v>
      </c>
      <c r="AI40" s="20">
        <f t="shared" si="9"/>
        <v>202.06991217428907</v>
      </c>
      <c r="AJ40" s="20">
        <f t="shared" si="10"/>
        <v>4.0018130408898829</v>
      </c>
      <c r="AK40" s="20">
        <f t="shared" si="14"/>
        <v>55.603030380330004</v>
      </c>
      <c r="AL40" s="21">
        <f t="shared" si="15"/>
        <v>34.789005188643721</v>
      </c>
      <c r="AM40" s="23">
        <f t="shared" si="16"/>
        <v>432.22410000000008</v>
      </c>
      <c r="AN40" s="22" t="s">
        <v>17</v>
      </c>
      <c r="AO40" s="22" t="s">
        <v>17</v>
      </c>
      <c r="AP40" s="22" t="s">
        <v>17</v>
      </c>
      <c r="AQ40" s="22" t="s">
        <v>17</v>
      </c>
      <c r="AR40" s="22" t="s">
        <v>17</v>
      </c>
      <c r="AS40" s="22" t="s">
        <v>17</v>
      </c>
      <c r="AT40" s="22" t="s">
        <v>17</v>
      </c>
      <c r="AU40" s="22" t="s">
        <v>17</v>
      </c>
    </row>
    <row r="41" spans="1:47" ht="15.75" x14ac:dyDescent="0.3">
      <c r="A41" s="12" t="s">
        <v>107</v>
      </c>
      <c r="B41" s="13">
        <v>400</v>
      </c>
      <c r="C41" s="13">
        <v>180</v>
      </c>
      <c r="D41" s="13">
        <v>8.6</v>
      </c>
      <c r="E41" s="13">
        <v>13.5</v>
      </c>
      <c r="F41" s="13">
        <v>21</v>
      </c>
      <c r="G41" s="14" t="s">
        <v>17</v>
      </c>
      <c r="H41" s="15">
        <f t="shared" si="11"/>
        <v>66.303907472170167</v>
      </c>
      <c r="I41" s="15">
        <f t="shared" si="12"/>
        <v>84.463576397669001</v>
      </c>
      <c r="J41" s="16" t="s">
        <v>17</v>
      </c>
      <c r="K41" s="15">
        <f t="shared" si="17"/>
        <v>373</v>
      </c>
      <c r="L41" s="15">
        <f t="shared" si="18"/>
        <v>331</v>
      </c>
      <c r="M41" s="14" t="s">
        <v>99</v>
      </c>
      <c r="N41" s="14" t="s">
        <v>108</v>
      </c>
      <c r="O41" s="14">
        <v>102</v>
      </c>
      <c r="P41" s="14" t="s">
        <v>17</v>
      </c>
      <c r="Q41" s="14" t="s">
        <v>17</v>
      </c>
      <c r="R41" s="14">
        <f t="shared" si="13"/>
        <v>45</v>
      </c>
      <c r="S41" s="14">
        <v>0</v>
      </c>
      <c r="T41" s="17">
        <f t="shared" si="0"/>
        <v>1.4667468914507713</v>
      </c>
      <c r="U41" s="18">
        <f t="shared" si="1"/>
        <v>22.12157544510346</v>
      </c>
      <c r="V41" s="19">
        <v>1</v>
      </c>
      <c r="W41" s="19">
        <v>1</v>
      </c>
      <c r="X41" s="19">
        <v>1</v>
      </c>
      <c r="Y41" s="19">
        <v>3</v>
      </c>
      <c r="Z41" s="19">
        <v>4</v>
      </c>
      <c r="AA41" s="19">
        <v>4</v>
      </c>
      <c r="AB41" s="15">
        <f t="shared" si="2"/>
        <v>23128.345602658708</v>
      </c>
      <c r="AC41" s="15">
        <f t="shared" si="3"/>
        <v>1156.4172801329355</v>
      </c>
      <c r="AD41" s="15">
        <f t="shared" si="4"/>
        <v>1307.1476393814221</v>
      </c>
      <c r="AE41" s="20">
        <f t="shared" si="5"/>
        <v>16.547696649318922</v>
      </c>
      <c r="AF41" s="20">
        <f t="shared" si="6"/>
        <v>42.694576397669003</v>
      </c>
      <c r="AG41" s="18">
        <f t="shared" si="7"/>
        <v>1317.820950484343</v>
      </c>
      <c r="AH41" s="18">
        <f t="shared" si="8"/>
        <v>146.42455005381589</v>
      </c>
      <c r="AI41" s="20">
        <f t="shared" si="9"/>
        <v>229.0002782861026</v>
      </c>
      <c r="AJ41" s="20">
        <f t="shared" si="10"/>
        <v>3.9499670289275461</v>
      </c>
      <c r="AK41" s="20">
        <f t="shared" si="14"/>
        <v>60.203030380330006</v>
      </c>
      <c r="AL41" s="21">
        <f t="shared" si="15"/>
        <v>51.075472212080228</v>
      </c>
      <c r="AM41" s="23">
        <f t="shared" si="16"/>
        <v>490.04847112499994</v>
      </c>
      <c r="AN41" s="22" t="s">
        <v>17</v>
      </c>
      <c r="AO41" s="22" t="s">
        <v>17</v>
      </c>
      <c r="AP41" s="22" t="s">
        <v>17</v>
      </c>
      <c r="AQ41" s="22" t="s">
        <v>17</v>
      </c>
      <c r="AR41" s="22" t="s">
        <v>17</v>
      </c>
      <c r="AS41" s="22" t="s">
        <v>17</v>
      </c>
      <c r="AT41" s="22" t="s">
        <v>17</v>
      </c>
      <c r="AU41" s="22" t="s">
        <v>17</v>
      </c>
    </row>
    <row r="42" spans="1:47" ht="15.75" x14ac:dyDescent="0.3">
      <c r="A42" s="12" t="s">
        <v>109</v>
      </c>
      <c r="B42" s="13">
        <v>404</v>
      </c>
      <c r="C42" s="13">
        <v>182</v>
      </c>
      <c r="D42" s="13">
        <v>9.6999999999999993</v>
      </c>
      <c r="E42" s="13">
        <v>15.5</v>
      </c>
      <c r="F42" s="13">
        <v>21</v>
      </c>
      <c r="G42" s="14" t="s">
        <v>17</v>
      </c>
      <c r="H42" s="15">
        <f t="shared" si="11"/>
        <v>75.663462472170181</v>
      </c>
      <c r="I42" s="15">
        <f t="shared" si="12"/>
        <v>96.386576397669018</v>
      </c>
      <c r="J42" s="16" t="s">
        <v>17</v>
      </c>
      <c r="K42" s="15">
        <f t="shared" si="17"/>
        <v>373</v>
      </c>
      <c r="L42" s="15">
        <f t="shared" si="18"/>
        <v>331</v>
      </c>
      <c r="M42" s="14" t="s">
        <v>99</v>
      </c>
      <c r="N42" s="14" t="s">
        <v>110</v>
      </c>
      <c r="O42" s="14">
        <v>104</v>
      </c>
      <c r="P42" s="14" t="s">
        <v>17</v>
      </c>
      <c r="Q42" s="14" t="s">
        <v>17</v>
      </c>
      <c r="R42" s="14">
        <f t="shared" si="13"/>
        <v>45.5</v>
      </c>
      <c r="S42" s="14">
        <v>0</v>
      </c>
      <c r="T42" s="17">
        <f t="shared" si="0"/>
        <v>1.4805468914507711</v>
      </c>
      <c r="U42" s="18">
        <f t="shared" si="1"/>
        <v>19.567527616058172</v>
      </c>
      <c r="V42" s="19">
        <v>1</v>
      </c>
      <c r="W42" s="19">
        <v>1</v>
      </c>
      <c r="X42" s="19">
        <v>1</v>
      </c>
      <c r="Y42" s="19">
        <v>2</v>
      </c>
      <c r="Z42" s="19">
        <v>3</v>
      </c>
      <c r="AA42" s="19">
        <v>4</v>
      </c>
      <c r="AB42" s="15">
        <f t="shared" si="2"/>
        <v>26747.015958492048</v>
      </c>
      <c r="AC42" s="15">
        <f t="shared" si="3"/>
        <v>1324.109700915448</v>
      </c>
      <c r="AD42" s="15">
        <f t="shared" si="4"/>
        <v>1502.1716143814222</v>
      </c>
      <c r="AE42" s="20">
        <f t="shared" si="5"/>
        <v>16.658250598075206</v>
      </c>
      <c r="AF42" s="20">
        <f t="shared" si="6"/>
        <v>47.980076397669023</v>
      </c>
      <c r="AG42" s="18">
        <f t="shared" si="7"/>
        <v>1564.246697006814</v>
      </c>
      <c r="AH42" s="18">
        <f t="shared" si="8"/>
        <v>171.89524142932024</v>
      </c>
      <c r="AI42" s="20">
        <f t="shared" si="9"/>
        <v>269.09660748797438</v>
      </c>
      <c r="AJ42" s="20">
        <f t="shared" si="10"/>
        <v>4.0285090720344803</v>
      </c>
      <c r="AK42" s="20">
        <f t="shared" si="14"/>
        <v>65.30303038033</v>
      </c>
      <c r="AL42" s="21">
        <f t="shared" si="15"/>
        <v>73.100385182640068</v>
      </c>
      <c r="AM42" s="23">
        <f t="shared" si="16"/>
        <v>587.64719391787503</v>
      </c>
      <c r="AN42" s="22" t="s">
        <v>17</v>
      </c>
      <c r="AO42" s="22" t="s">
        <v>17</v>
      </c>
      <c r="AP42" s="22" t="s">
        <v>17</v>
      </c>
      <c r="AQ42" s="22" t="s">
        <v>17</v>
      </c>
      <c r="AR42" s="22" t="s">
        <v>17</v>
      </c>
      <c r="AS42" s="22" t="s">
        <v>17</v>
      </c>
      <c r="AT42" s="22" t="s">
        <v>17</v>
      </c>
      <c r="AU42" s="22" t="s">
        <v>17</v>
      </c>
    </row>
    <row r="43" spans="1:47" ht="15.75" x14ac:dyDescent="0.3">
      <c r="A43" s="12" t="s">
        <v>111</v>
      </c>
      <c r="B43" s="13">
        <v>447</v>
      </c>
      <c r="C43" s="13">
        <v>190</v>
      </c>
      <c r="D43" s="13">
        <v>7.6</v>
      </c>
      <c r="E43" s="13">
        <v>13.1</v>
      </c>
      <c r="F43" s="13">
        <v>21</v>
      </c>
      <c r="G43" s="14" t="s">
        <v>17</v>
      </c>
      <c r="H43" s="15">
        <f t="shared" si="11"/>
        <v>67.15390547217018</v>
      </c>
      <c r="I43" s="15">
        <f t="shared" si="12"/>
        <v>85.546376397669007</v>
      </c>
      <c r="J43" s="16" t="s">
        <v>17</v>
      </c>
      <c r="K43" s="15">
        <f t="shared" si="17"/>
        <v>420.8</v>
      </c>
      <c r="L43" s="15">
        <f t="shared" si="18"/>
        <v>378.8</v>
      </c>
      <c r="M43" s="14" t="s">
        <v>112</v>
      </c>
      <c r="N43" s="14" t="s">
        <v>113</v>
      </c>
      <c r="O43" s="14" t="s">
        <v>114</v>
      </c>
      <c r="P43" s="14" t="s">
        <v>17</v>
      </c>
      <c r="Q43" s="14" t="s">
        <v>17</v>
      </c>
      <c r="R43" s="14">
        <f t="shared" si="13"/>
        <v>47.5</v>
      </c>
      <c r="S43" s="14">
        <v>0</v>
      </c>
      <c r="T43" s="17">
        <f t="shared" si="0"/>
        <v>1.6027468914507712</v>
      </c>
      <c r="U43" s="18">
        <f t="shared" si="1"/>
        <v>23.866771116014679</v>
      </c>
      <c r="V43" s="19">
        <v>1</v>
      </c>
      <c r="W43" s="19">
        <v>1</v>
      </c>
      <c r="X43" s="19">
        <v>2</v>
      </c>
      <c r="Y43" s="19">
        <v>4</v>
      </c>
      <c r="Z43" s="19">
        <v>4</v>
      </c>
      <c r="AA43" s="19">
        <v>4</v>
      </c>
      <c r="AB43" s="15">
        <f t="shared" si="2"/>
        <v>29758.801350066322</v>
      </c>
      <c r="AC43" s="15">
        <f t="shared" si="3"/>
        <v>1331.489993291558</v>
      </c>
      <c r="AD43" s="15">
        <f t="shared" si="4"/>
        <v>1494.287932971851</v>
      </c>
      <c r="AE43" s="20">
        <f t="shared" si="5"/>
        <v>18.651205536201729</v>
      </c>
      <c r="AF43" s="20">
        <f t="shared" si="6"/>
        <v>42.263976397669012</v>
      </c>
      <c r="AG43" s="18">
        <f t="shared" si="7"/>
        <v>1502.4006427144604</v>
      </c>
      <c r="AH43" s="18">
        <f t="shared" si="8"/>
        <v>158.14743607520637</v>
      </c>
      <c r="AI43" s="20">
        <f t="shared" si="9"/>
        <v>245.74558146621919</v>
      </c>
      <c r="AJ43" s="20">
        <f t="shared" si="10"/>
        <v>4.1907530640470538</v>
      </c>
      <c r="AK43" s="20">
        <f t="shared" si="14"/>
        <v>58.403030380330001</v>
      </c>
      <c r="AL43" s="21">
        <f t="shared" si="15"/>
        <v>45.671558858382703</v>
      </c>
      <c r="AM43" s="23">
        <f t="shared" si="16"/>
        <v>704.85560413370831</v>
      </c>
      <c r="AN43" s="22" t="s">
        <v>17</v>
      </c>
      <c r="AO43" s="22" t="s">
        <v>17</v>
      </c>
      <c r="AP43" s="22" t="s">
        <v>17</v>
      </c>
      <c r="AQ43" s="22" t="s">
        <v>17</v>
      </c>
      <c r="AR43" s="22" t="s">
        <v>17</v>
      </c>
      <c r="AS43" s="22" t="s">
        <v>17</v>
      </c>
      <c r="AT43" s="22" t="s">
        <v>17</v>
      </c>
      <c r="AU43" s="22" t="s">
        <v>17</v>
      </c>
    </row>
    <row r="44" spans="1:47" ht="15.75" x14ac:dyDescent="0.3">
      <c r="A44" s="12" t="s">
        <v>115</v>
      </c>
      <c r="B44" s="13">
        <v>450</v>
      </c>
      <c r="C44" s="13">
        <v>190</v>
      </c>
      <c r="D44" s="13">
        <v>9.4</v>
      </c>
      <c r="E44" s="13">
        <v>14.6</v>
      </c>
      <c r="F44" s="13">
        <v>21</v>
      </c>
      <c r="G44" s="14" t="s">
        <v>17</v>
      </c>
      <c r="H44" s="15">
        <f t="shared" si="11"/>
        <v>77.574309472170185</v>
      </c>
      <c r="I44" s="15">
        <f t="shared" si="12"/>
        <v>98.820776397669022</v>
      </c>
      <c r="J44" s="16" t="s">
        <v>17</v>
      </c>
      <c r="K44" s="15">
        <f t="shared" si="17"/>
        <v>420.8</v>
      </c>
      <c r="L44" s="15">
        <f t="shared" si="18"/>
        <v>378.8</v>
      </c>
      <c r="M44" s="14" t="s">
        <v>99</v>
      </c>
      <c r="N44" s="14" t="s">
        <v>116</v>
      </c>
      <c r="O44" s="14">
        <v>112</v>
      </c>
      <c r="P44" s="14" t="s">
        <v>17</v>
      </c>
      <c r="Q44" s="14" t="s">
        <v>17</v>
      </c>
      <c r="R44" s="14">
        <f t="shared" si="13"/>
        <v>47.5</v>
      </c>
      <c r="S44" s="14">
        <v>0</v>
      </c>
      <c r="T44" s="17">
        <f t="shared" si="0"/>
        <v>1.6051468914507714</v>
      </c>
      <c r="U44" s="18">
        <f t="shared" si="1"/>
        <v>20.6917328993643</v>
      </c>
      <c r="V44" s="19">
        <v>1</v>
      </c>
      <c r="W44" s="19">
        <v>1</v>
      </c>
      <c r="X44" s="19">
        <v>1</v>
      </c>
      <c r="Y44" s="19">
        <v>3</v>
      </c>
      <c r="Z44" s="19">
        <v>4</v>
      </c>
      <c r="AA44" s="19">
        <v>4</v>
      </c>
      <c r="AB44" s="15">
        <f t="shared" si="2"/>
        <v>33742.914103746334</v>
      </c>
      <c r="AC44" s="15">
        <f t="shared" si="3"/>
        <v>1499.685071277615</v>
      </c>
      <c r="AD44" s="15">
        <f t="shared" si="4"/>
        <v>1701.7931209718508</v>
      </c>
      <c r="AE44" s="20">
        <f t="shared" si="5"/>
        <v>18.478519065457721</v>
      </c>
      <c r="AF44" s="20">
        <f t="shared" si="6"/>
        <v>50.845176397669015</v>
      </c>
      <c r="AG44" s="18">
        <f t="shared" si="7"/>
        <v>1675.8581465706493</v>
      </c>
      <c r="AH44" s="18">
        <f t="shared" si="8"/>
        <v>176.40612069164729</v>
      </c>
      <c r="AI44" s="20">
        <f t="shared" si="9"/>
        <v>276.38040334200934</v>
      </c>
      <c r="AJ44" s="20">
        <f t="shared" si="10"/>
        <v>4.1180773204836614</v>
      </c>
      <c r="AK44" s="20">
        <f t="shared" si="14"/>
        <v>63.203030380330006</v>
      </c>
      <c r="AL44" s="21">
        <f t="shared" si="15"/>
        <v>66.873986995226716</v>
      </c>
      <c r="AM44" s="23">
        <f t="shared" si="16"/>
        <v>791.00506853433319</v>
      </c>
      <c r="AN44" s="22" t="s">
        <v>17</v>
      </c>
      <c r="AO44" s="22" t="s">
        <v>17</v>
      </c>
      <c r="AP44" s="22" t="s">
        <v>17</v>
      </c>
      <c r="AQ44" s="22" t="s">
        <v>17</v>
      </c>
      <c r="AR44" s="22" t="s">
        <v>17</v>
      </c>
      <c r="AS44" s="22" t="s">
        <v>17</v>
      </c>
      <c r="AT44" s="22" t="s">
        <v>17</v>
      </c>
      <c r="AU44" s="22" t="s">
        <v>17</v>
      </c>
    </row>
    <row r="45" spans="1:47" ht="15.75" x14ac:dyDescent="0.3">
      <c r="A45" s="12" t="s">
        <v>117</v>
      </c>
      <c r="B45" s="13">
        <v>456</v>
      </c>
      <c r="C45" s="13">
        <v>192</v>
      </c>
      <c r="D45" s="13">
        <v>11</v>
      </c>
      <c r="E45" s="13">
        <v>17.600000000000001</v>
      </c>
      <c r="F45" s="13">
        <v>21</v>
      </c>
      <c r="G45" s="14" t="s">
        <v>17</v>
      </c>
      <c r="H45" s="15">
        <f t="shared" si="11"/>
        <v>92.36119747217019</v>
      </c>
      <c r="I45" s="15">
        <f t="shared" si="12"/>
        <v>117.65757639766902</v>
      </c>
      <c r="J45" s="16" t="s">
        <v>17</v>
      </c>
      <c r="K45" s="15">
        <f t="shared" si="17"/>
        <v>420.8</v>
      </c>
      <c r="L45" s="15">
        <f t="shared" si="18"/>
        <v>378.8</v>
      </c>
      <c r="M45" s="14" t="s">
        <v>99</v>
      </c>
      <c r="N45" s="14" t="s">
        <v>118</v>
      </c>
      <c r="O45" s="14">
        <v>114</v>
      </c>
      <c r="P45" s="14" t="s">
        <v>17</v>
      </c>
      <c r="Q45" s="14" t="s">
        <v>17</v>
      </c>
      <c r="R45" s="14">
        <f t="shared" si="13"/>
        <v>48</v>
      </c>
      <c r="S45" s="14">
        <v>0</v>
      </c>
      <c r="T45" s="17">
        <f t="shared" si="0"/>
        <v>1.6219468914507713</v>
      </c>
      <c r="U45" s="18">
        <f t="shared" si="1"/>
        <v>17.560912329438867</v>
      </c>
      <c r="V45" s="19">
        <v>1</v>
      </c>
      <c r="W45" s="19">
        <v>1</v>
      </c>
      <c r="X45" s="19">
        <v>1</v>
      </c>
      <c r="Y45" s="19">
        <v>2</v>
      </c>
      <c r="Z45" s="19">
        <v>4</v>
      </c>
      <c r="AA45" s="19">
        <v>4</v>
      </c>
      <c r="AB45" s="15">
        <f t="shared" si="2"/>
        <v>40923.395814039657</v>
      </c>
      <c r="AC45" s="15">
        <f t="shared" si="3"/>
        <v>1794.8857813175287</v>
      </c>
      <c r="AD45" s="15">
        <f t="shared" si="4"/>
        <v>2046.2638569718511</v>
      </c>
      <c r="AE45" s="20">
        <f t="shared" si="5"/>
        <v>18.649873182579704</v>
      </c>
      <c r="AF45" s="20">
        <f t="shared" si="6"/>
        <v>59.401576397669018</v>
      </c>
      <c r="AG45" s="18">
        <f t="shared" si="7"/>
        <v>2085.3631377523279</v>
      </c>
      <c r="AH45" s="18">
        <f t="shared" si="8"/>
        <v>217.22532684920083</v>
      </c>
      <c r="AI45" s="20">
        <f t="shared" si="9"/>
        <v>340.99017745382287</v>
      </c>
      <c r="AJ45" s="20">
        <f t="shared" si="10"/>
        <v>4.2099883795668136</v>
      </c>
      <c r="AK45" s="20">
        <f t="shared" si="14"/>
        <v>70.80303038033</v>
      </c>
      <c r="AL45" s="21">
        <f t="shared" si="15"/>
        <v>109.04889996869814</v>
      </c>
      <c r="AM45" s="23">
        <f t="shared" si="16"/>
        <v>997.57648458547192</v>
      </c>
      <c r="AN45" s="22" t="s">
        <v>17</v>
      </c>
      <c r="AO45" s="22" t="s">
        <v>17</v>
      </c>
      <c r="AP45" s="22" t="s">
        <v>17</v>
      </c>
      <c r="AQ45" s="22" t="s">
        <v>17</v>
      </c>
      <c r="AR45" s="22" t="s">
        <v>17</v>
      </c>
      <c r="AS45" s="22" t="s">
        <v>17</v>
      </c>
      <c r="AT45" s="22" t="s">
        <v>17</v>
      </c>
      <c r="AU45" s="22" t="s">
        <v>17</v>
      </c>
    </row>
    <row r="46" spans="1:47" ht="15.75" x14ac:dyDescent="0.3">
      <c r="A46" s="24" t="s">
        <v>119</v>
      </c>
      <c r="B46" s="13">
        <v>497</v>
      </c>
      <c r="C46" s="13">
        <v>200</v>
      </c>
      <c r="D46" s="13">
        <v>8.4</v>
      </c>
      <c r="E46" s="13">
        <v>14.5</v>
      </c>
      <c r="F46" s="13">
        <v>21</v>
      </c>
      <c r="G46" s="14" t="s">
        <v>17</v>
      </c>
      <c r="H46" s="15">
        <f t="shared" si="11"/>
        <v>79.361597472170175</v>
      </c>
      <c r="I46" s="15">
        <f t="shared" si="12"/>
        <v>101.09757639766902</v>
      </c>
      <c r="J46" s="16" t="s">
        <v>17</v>
      </c>
      <c r="K46" s="15">
        <f t="shared" si="17"/>
        <v>468</v>
      </c>
      <c r="L46" s="15">
        <f t="shared" si="18"/>
        <v>426</v>
      </c>
      <c r="M46" s="14" t="s">
        <v>120</v>
      </c>
      <c r="N46" s="14" t="s">
        <v>121</v>
      </c>
      <c r="O46" s="14">
        <v>110</v>
      </c>
      <c r="P46" s="14" t="s">
        <v>17</v>
      </c>
      <c r="Q46" s="14" t="s">
        <v>17</v>
      </c>
      <c r="R46" s="14">
        <f t="shared" si="13"/>
        <v>50</v>
      </c>
      <c r="S46" s="14">
        <v>0</v>
      </c>
      <c r="T46" s="17">
        <f t="shared" si="0"/>
        <v>1.7411468914507713</v>
      </c>
      <c r="U46" s="18">
        <f t="shared" si="1"/>
        <v>21.939413354945902</v>
      </c>
      <c r="V46" s="19">
        <v>1</v>
      </c>
      <c r="W46" s="19">
        <v>1</v>
      </c>
      <c r="X46" s="19">
        <v>1</v>
      </c>
      <c r="Y46" s="19">
        <v>4</v>
      </c>
      <c r="Z46" s="19">
        <v>4</v>
      </c>
      <c r="AA46" s="19">
        <v>4</v>
      </c>
      <c r="AB46" s="15">
        <f t="shared" si="2"/>
        <v>42933.409192959865</v>
      </c>
      <c r="AC46" s="15">
        <f t="shared" si="3"/>
        <v>1727.7025832177007</v>
      </c>
      <c r="AD46" s="15">
        <f t="shared" si="4"/>
        <v>1946.0071772703498</v>
      </c>
      <c r="AE46" s="20">
        <f t="shared" si="5"/>
        <v>20.607595238581059</v>
      </c>
      <c r="AF46" s="20">
        <f t="shared" si="6"/>
        <v>50.405576397669016</v>
      </c>
      <c r="AG46" s="18">
        <f t="shared" si="7"/>
        <v>1939.2210592247666</v>
      </c>
      <c r="AH46" s="18">
        <f t="shared" si="8"/>
        <v>193.92210592247665</v>
      </c>
      <c r="AI46" s="20">
        <f t="shared" si="9"/>
        <v>301.6211725221259</v>
      </c>
      <c r="AJ46" s="20">
        <f t="shared" si="10"/>
        <v>4.3796891479261699</v>
      </c>
      <c r="AK46" s="20">
        <f t="shared" si="14"/>
        <v>62.003030380330003</v>
      </c>
      <c r="AL46" s="21">
        <f t="shared" si="15"/>
        <v>62.777692541692964</v>
      </c>
      <c r="AM46" s="25">
        <f t="shared" si="16"/>
        <v>1125.2302083333334</v>
      </c>
      <c r="AN46" s="22" t="s">
        <v>17</v>
      </c>
      <c r="AO46" s="22" t="s">
        <v>17</v>
      </c>
      <c r="AP46" s="22" t="s">
        <v>17</v>
      </c>
      <c r="AQ46" s="22" t="s">
        <v>17</v>
      </c>
      <c r="AR46" s="22" t="s">
        <v>17</v>
      </c>
      <c r="AS46" s="22" t="s">
        <v>17</v>
      </c>
      <c r="AT46" s="22" t="s">
        <v>17</v>
      </c>
      <c r="AU46" s="22" t="s">
        <v>17</v>
      </c>
    </row>
    <row r="47" spans="1:47" ht="15.75" x14ac:dyDescent="0.3">
      <c r="A47" s="24" t="s">
        <v>122</v>
      </c>
      <c r="B47" s="13">
        <v>500</v>
      </c>
      <c r="C47" s="13">
        <v>200</v>
      </c>
      <c r="D47" s="13">
        <v>10.199999999999999</v>
      </c>
      <c r="E47" s="13">
        <v>16</v>
      </c>
      <c r="F47" s="13">
        <v>21</v>
      </c>
      <c r="G47" s="14" t="s">
        <v>17</v>
      </c>
      <c r="H47" s="15">
        <f t="shared" si="11"/>
        <v>90.68443747217016</v>
      </c>
      <c r="I47" s="15">
        <f t="shared" si="12"/>
        <v>115.52157639766899</v>
      </c>
      <c r="J47" s="16" t="s">
        <v>17</v>
      </c>
      <c r="K47" s="15">
        <f t="shared" si="17"/>
        <v>468</v>
      </c>
      <c r="L47" s="15">
        <f t="shared" si="18"/>
        <v>426</v>
      </c>
      <c r="M47" s="14" t="s">
        <v>120</v>
      </c>
      <c r="N47" s="14" t="s">
        <v>123</v>
      </c>
      <c r="O47" s="14">
        <v>110</v>
      </c>
      <c r="P47" s="14" t="s">
        <v>17</v>
      </c>
      <c r="Q47" s="14" t="s">
        <v>17</v>
      </c>
      <c r="R47" s="14">
        <f t="shared" si="13"/>
        <v>50</v>
      </c>
      <c r="S47" s="14">
        <v>0</v>
      </c>
      <c r="T47" s="17">
        <f t="shared" si="0"/>
        <v>1.7435468914507712</v>
      </c>
      <c r="U47" s="18">
        <f t="shared" si="1"/>
        <v>19.226528167921231</v>
      </c>
      <c r="V47" s="19">
        <v>1</v>
      </c>
      <c r="W47" s="19">
        <v>1</v>
      </c>
      <c r="X47" s="19">
        <v>1</v>
      </c>
      <c r="Y47" s="19">
        <v>3</v>
      </c>
      <c r="Z47" s="19">
        <v>4</v>
      </c>
      <c r="AA47" s="19">
        <v>4</v>
      </c>
      <c r="AB47" s="15">
        <f t="shared" si="2"/>
        <v>48198.502672959847</v>
      </c>
      <c r="AC47" s="15">
        <f t="shared" si="3"/>
        <v>1927.9401069183939</v>
      </c>
      <c r="AD47" s="15">
        <f t="shared" si="4"/>
        <v>2194.1179772703499</v>
      </c>
      <c r="AE47" s="20">
        <f t="shared" si="5"/>
        <v>20.426089008683583</v>
      </c>
      <c r="AF47" s="20">
        <f t="shared" si="6"/>
        <v>59.873576397668991</v>
      </c>
      <c r="AG47" s="18">
        <f t="shared" si="7"/>
        <v>2141.6847458777556</v>
      </c>
      <c r="AH47" s="18">
        <f t="shared" si="8"/>
        <v>214.16847458777556</v>
      </c>
      <c r="AI47" s="20">
        <f t="shared" si="9"/>
        <v>335.87903439791609</v>
      </c>
      <c r="AJ47" s="20">
        <f t="shared" si="10"/>
        <v>4.3057243035632879</v>
      </c>
      <c r="AK47" s="20">
        <f t="shared" si="14"/>
        <v>66.80303038033</v>
      </c>
      <c r="AL47" s="21">
        <f t="shared" si="15"/>
        <v>89.28705684181557</v>
      </c>
      <c r="AM47" s="25">
        <f t="shared" si="16"/>
        <v>1249.3653333333334</v>
      </c>
      <c r="AN47" s="22" t="s">
        <v>17</v>
      </c>
      <c r="AO47" s="22" t="s">
        <v>17</v>
      </c>
      <c r="AP47" s="22" t="s">
        <v>17</v>
      </c>
      <c r="AQ47" s="22" t="s">
        <v>17</v>
      </c>
      <c r="AR47" s="22" t="s">
        <v>17</v>
      </c>
      <c r="AS47" s="22" t="s">
        <v>17</v>
      </c>
      <c r="AT47" s="22" t="s">
        <v>17</v>
      </c>
      <c r="AU47" s="22" t="s">
        <v>17</v>
      </c>
    </row>
    <row r="48" spans="1:47" ht="15.75" x14ac:dyDescent="0.3">
      <c r="A48" s="24" t="s">
        <v>124</v>
      </c>
      <c r="B48" s="13">
        <v>506</v>
      </c>
      <c r="C48" s="13">
        <v>202</v>
      </c>
      <c r="D48" s="13">
        <v>12</v>
      </c>
      <c r="E48" s="13">
        <v>19</v>
      </c>
      <c r="F48" s="13">
        <v>21</v>
      </c>
      <c r="G48" s="14" t="s">
        <v>17</v>
      </c>
      <c r="H48" s="15">
        <f t="shared" si="11"/>
        <v>107.31387747217018</v>
      </c>
      <c r="I48" s="15">
        <f t="shared" si="12"/>
        <v>136.70557639766901</v>
      </c>
      <c r="J48" s="16" t="s">
        <v>17</v>
      </c>
      <c r="K48" s="15">
        <f t="shared" si="17"/>
        <v>468</v>
      </c>
      <c r="L48" s="15">
        <f t="shared" si="18"/>
        <v>426</v>
      </c>
      <c r="M48" s="14" t="s">
        <v>120</v>
      </c>
      <c r="N48" s="14" t="s">
        <v>125</v>
      </c>
      <c r="O48" s="14">
        <v>112</v>
      </c>
      <c r="P48" s="14" t="s">
        <v>17</v>
      </c>
      <c r="Q48" s="14" t="s">
        <v>17</v>
      </c>
      <c r="R48" s="14">
        <f t="shared" si="13"/>
        <v>50.5</v>
      </c>
      <c r="S48" s="14">
        <v>0</v>
      </c>
      <c r="T48" s="17">
        <f t="shared" si="0"/>
        <v>1.7599468914507712</v>
      </c>
      <c r="U48" s="18">
        <f t="shared" si="1"/>
        <v>16.399993485532011</v>
      </c>
      <c r="V48" s="19">
        <v>1</v>
      </c>
      <c r="W48" s="19">
        <v>1</v>
      </c>
      <c r="X48" s="19">
        <v>1</v>
      </c>
      <c r="Y48" s="19">
        <v>2</v>
      </c>
      <c r="Z48" s="19">
        <v>4</v>
      </c>
      <c r="AA48" s="19">
        <v>4</v>
      </c>
      <c r="AB48" s="15">
        <f t="shared" si="2"/>
        <v>57777.260886293188</v>
      </c>
      <c r="AC48" s="15">
        <f t="shared" si="3"/>
        <v>2283.6862010392565</v>
      </c>
      <c r="AD48" s="15">
        <f t="shared" si="4"/>
        <v>2612.9847772703497</v>
      </c>
      <c r="AE48" s="20">
        <f t="shared" si="5"/>
        <v>20.558212899164243</v>
      </c>
      <c r="AF48" s="20">
        <f t="shared" si="6"/>
        <v>70.205576397669006</v>
      </c>
      <c r="AG48" s="18">
        <f t="shared" si="7"/>
        <v>2621.7456148768774</v>
      </c>
      <c r="AH48" s="18">
        <f t="shared" si="8"/>
        <v>259.57877375018592</v>
      </c>
      <c r="AI48" s="20">
        <f t="shared" si="9"/>
        <v>408.53305627370634</v>
      </c>
      <c r="AJ48" s="20">
        <f t="shared" si="10"/>
        <v>4.3792744156169148</v>
      </c>
      <c r="AK48" s="20">
        <f t="shared" si="14"/>
        <v>74.603030380330011</v>
      </c>
      <c r="AL48" s="21">
        <f t="shared" si="15"/>
        <v>143.47096912481561</v>
      </c>
      <c r="AM48" s="25">
        <f t="shared" si="16"/>
        <v>1547.5845665036668</v>
      </c>
      <c r="AN48" s="22" t="s">
        <v>17</v>
      </c>
      <c r="AO48" s="22" t="s">
        <v>17</v>
      </c>
      <c r="AP48" s="22" t="s">
        <v>17</v>
      </c>
      <c r="AQ48" s="22" t="s">
        <v>17</v>
      </c>
      <c r="AR48" s="22" t="s">
        <v>17</v>
      </c>
      <c r="AS48" s="22" t="s">
        <v>17</v>
      </c>
      <c r="AT48" s="22" t="s">
        <v>17</v>
      </c>
      <c r="AU48" s="22" t="s">
        <v>17</v>
      </c>
    </row>
    <row r="49" spans="1:47" ht="15.75" x14ac:dyDescent="0.3">
      <c r="A49" s="24" t="s">
        <v>126</v>
      </c>
      <c r="B49" s="13">
        <v>547</v>
      </c>
      <c r="C49" s="13">
        <v>210</v>
      </c>
      <c r="D49" s="13">
        <v>9</v>
      </c>
      <c r="E49" s="13">
        <v>15.7</v>
      </c>
      <c r="F49" s="13">
        <v>24</v>
      </c>
      <c r="G49" s="14" t="s">
        <v>17</v>
      </c>
      <c r="H49" s="15">
        <f t="shared" si="11"/>
        <v>92.071414657528408</v>
      </c>
      <c r="I49" s="15">
        <f t="shared" si="12"/>
        <v>117.28842631532281</v>
      </c>
      <c r="J49" s="16" t="s">
        <v>17</v>
      </c>
      <c r="K49" s="15">
        <f t="shared" si="17"/>
        <v>515.6</v>
      </c>
      <c r="L49" s="15">
        <f t="shared" si="18"/>
        <v>467.6</v>
      </c>
      <c r="M49" s="14" t="s">
        <v>120</v>
      </c>
      <c r="N49" s="14" t="s">
        <v>127</v>
      </c>
      <c r="O49" s="14">
        <v>120</v>
      </c>
      <c r="P49" s="14" t="s">
        <v>17</v>
      </c>
      <c r="Q49" s="14" t="s">
        <v>17</v>
      </c>
      <c r="R49" s="14">
        <f t="shared" si="13"/>
        <v>52.5</v>
      </c>
      <c r="S49" s="14">
        <v>0</v>
      </c>
      <c r="T49" s="17">
        <f t="shared" si="0"/>
        <v>1.87479644737231</v>
      </c>
      <c r="U49" s="18">
        <f t="shared" si="1"/>
        <v>20.362416004422862</v>
      </c>
      <c r="V49" s="19">
        <v>1</v>
      </c>
      <c r="W49" s="19">
        <v>1</v>
      </c>
      <c r="X49" s="19">
        <v>2</v>
      </c>
      <c r="Y49" s="19">
        <v>4</v>
      </c>
      <c r="Z49" s="19">
        <v>4</v>
      </c>
      <c r="AA49" s="19">
        <v>4</v>
      </c>
      <c r="AB49" s="15">
        <f t="shared" si="2"/>
        <v>59979.325493842814</v>
      </c>
      <c r="AC49" s="15">
        <f t="shared" si="3"/>
        <v>2193.0283544366657</v>
      </c>
      <c r="AD49" s="15">
        <f t="shared" si="4"/>
        <v>2474.6603472522465</v>
      </c>
      <c r="AE49" s="20">
        <f t="shared" si="5"/>
        <v>22.613782412451062</v>
      </c>
      <c r="AF49" s="20">
        <f t="shared" si="6"/>
        <v>60.297426315322802</v>
      </c>
      <c r="AG49" s="18">
        <f t="shared" si="7"/>
        <v>2432.2310685258799</v>
      </c>
      <c r="AH49" s="18">
        <f t="shared" si="8"/>
        <v>231.6410541453219</v>
      </c>
      <c r="AI49" s="20">
        <f t="shared" si="9"/>
        <v>361.50151499866996</v>
      </c>
      <c r="AJ49" s="20">
        <f t="shared" si="10"/>
        <v>4.5538092633842995</v>
      </c>
      <c r="AK49" s="20">
        <f t="shared" si="14"/>
        <v>68.517749006091435</v>
      </c>
      <c r="AL49" s="21">
        <f t="shared" si="15"/>
        <v>86.532426820619833</v>
      </c>
      <c r="AM49" s="25">
        <f t="shared" si="16"/>
        <v>1710.1174034463747</v>
      </c>
      <c r="AN49" s="22" t="s">
        <v>17</v>
      </c>
      <c r="AO49" s="22" t="s">
        <v>17</v>
      </c>
      <c r="AP49" s="22" t="s">
        <v>17</v>
      </c>
      <c r="AQ49" s="22" t="s">
        <v>17</v>
      </c>
      <c r="AR49" s="22" t="s">
        <v>17</v>
      </c>
      <c r="AS49" s="22" t="s">
        <v>17</v>
      </c>
      <c r="AT49" s="22" t="s">
        <v>17</v>
      </c>
      <c r="AU49" s="22" t="s">
        <v>17</v>
      </c>
    </row>
    <row r="50" spans="1:47" ht="15.75" x14ac:dyDescent="0.3">
      <c r="A50" s="24" t="s">
        <v>128</v>
      </c>
      <c r="B50" s="13">
        <v>550</v>
      </c>
      <c r="C50" s="13">
        <v>210</v>
      </c>
      <c r="D50" s="13">
        <v>11.1</v>
      </c>
      <c r="E50" s="13">
        <v>17.2</v>
      </c>
      <c r="F50" s="13">
        <v>24</v>
      </c>
      <c r="G50" s="14" t="s">
        <v>17</v>
      </c>
      <c r="H50" s="15">
        <f t="shared" si="11"/>
        <v>105.51658065752839</v>
      </c>
      <c r="I50" s="15">
        <f t="shared" si="12"/>
        <v>134.4160263153228</v>
      </c>
      <c r="J50" s="16" t="s">
        <v>17</v>
      </c>
      <c r="K50" s="15">
        <f t="shared" si="17"/>
        <v>515.6</v>
      </c>
      <c r="L50" s="15">
        <f t="shared" si="18"/>
        <v>467.6</v>
      </c>
      <c r="M50" s="14" t="s">
        <v>120</v>
      </c>
      <c r="N50" s="14" t="s">
        <v>129</v>
      </c>
      <c r="O50" s="14">
        <v>120</v>
      </c>
      <c r="P50" s="14" t="s">
        <v>17</v>
      </c>
      <c r="Q50" s="14" t="s">
        <v>17</v>
      </c>
      <c r="R50" s="14">
        <f t="shared" si="13"/>
        <v>52.5</v>
      </c>
      <c r="S50" s="14">
        <v>0</v>
      </c>
      <c r="T50" s="17">
        <f t="shared" si="0"/>
        <v>1.87659644737231</v>
      </c>
      <c r="U50" s="18">
        <f t="shared" si="1"/>
        <v>17.784848937278547</v>
      </c>
      <c r="V50" s="19">
        <v>1</v>
      </c>
      <c r="W50" s="19">
        <v>1</v>
      </c>
      <c r="X50" s="19">
        <v>1</v>
      </c>
      <c r="Y50" s="19">
        <v>4</v>
      </c>
      <c r="Z50" s="19">
        <v>4</v>
      </c>
      <c r="AA50" s="19">
        <v>4</v>
      </c>
      <c r="AB50" s="15">
        <f t="shared" si="2"/>
        <v>67116.464881122811</v>
      </c>
      <c r="AC50" s="15">
        <f t="shared" si="3"/>
        <v>2440.5987229499206</v>
      </c>
      <c r="AD50" s="15">
        <f t="shared" si="4"/>
        <v>2787.0056112522466</v>
      </c>
      <c r="AE50" s="20">
        <f t="shared" si="5"/>
        <v>22.345445138609971</v>
      </c>
      <c r="AF50" s="20">
        <f t="shared" si="6"/>
        <v>72.3412263153228</v>
      </c>
      <c r="AG50" s="18">
        <f t="shared" si="7"/>
        <v>2667.5785151718228</v>
      </c>
      <c r="AH50" s="18">
        <f t="shared" si="8"/>
        <v>254.05509668303074</v>
      </c>
      <c r="AI50" s="20">
        <f t="shared" si="9"/>
        <v>400.53654876177882</v>
      </c>
      <c r="AJ50" s="20">
        <f t="shared" si="10"/>
        <v>4.4548499369457</v>
      </c>
      <c r="AK50" s="20">
        <f t="shared" si="14"/>
        <v>73.617749006091429</v>
      </c>
      <c r="AL50" s="21">
        <f t="shared" si="15"/>
        <v>123.2358305221581</v>
      </c>
      <c r="AM50" s="25">
        <f t="shared" si="16"/>
        <v>1884.098143872</v>
      </c>
      <c r="AN50" s="22" t="s">
        <v>17</v>
      </c>
      <c r="AO50" s="22" t="s">
        <v>17</v>
      </c>
      <c r="AP50" s="22" t="s">
        <v>17</v>
      </c>
      <c r="AQ50" s="22" t="s">
        <v>17</v>
      </c>
      <c r="AR50" s="22" t="s">
        <v>17</v>
      </c>
      <c r="AS50" s="22" t="s">
        <v>17</v>
      </c>
      <c r="AT50" s="22" t="s">
        <v>17</v>
      </c>
      <c r="AU50" s="22" t="s">
        <v>17</v>
      </c>
    </row>
    <row r="51" spans="1:47" ht="15.75" x14ac:dyDescent="0.3">
      <c r="A51" s="24" t="s">
        <v>130</v>
      </c>
      <c r="B51" s="13">
        <v>556</v>
      </c>
      <c r="C51" s="13">
        <v>212</v>
      </c>
      <c r="D51" s="13">
        <v>12.7</v>
      </c>
      <c r="E51" s="13">
        <v>20.2</v>
      </c>
      <c r="F51" s="13">
        <v>24</v>
      </c>
      <c r="G51" s="14" t="s">
        <v>17</v>
      </c>
      <c r="H51" s="15">
        <f t="shared" si="11"/>
        <v>122.51779665752838</v>
      </c>
      <c r="I51" s="15">
        <f t="shared" si="12"/>
        <v>156.07362631532277</v>
      </c>
      <c r="J51" s="16" t="s">
        <v>17</v>
      </c>
      <c r="K51" s="15">
        <f t="shared" si="17"/>
        <v>515.6</v>
      </c>
      <c r="L51" s="15">
        <f t="shared" si="18"/>
        <v>467.6</v>
      </c>
      <c r="M51" s="14" t="s">
        <v>120</v>
      </c>
      <c r="N51" s="14" t="s">
        <v>131</v>
      </c>
      <c r="O51" s="14">
        <v>122</v>
      </c>
      <c r="P51" s="14" t="s">
        <v>17</v>
      </c>
      <c r="Q51" s="14" t="s">
        <v>17</v>
      </c>
      <c r="R51" s="14">
        <f t="shared" si="13"/>
        <v>53</v>
      </c>
      <c r="S51" s="14">
        <v>0</v>
      </c>
      <c r="T51" s="17">
        <f t="shared" si="0"/>
        <v>1.8933964473723099</v>
      </c>
      <c r="U51" s="18">
        <f t="shared" si="1"/>
        <v>15.454052382813284</v>
      </c>
      <c r="V51" s="19">
        <v>1</v>
      </c>
      <c r="W51" s="19">
        <v>1</v>
      </c>
      <c r="X51" s="19">
        <v>1</v>
      </c>
      <c r="Y51" s="19">
        <v>2</v>
      </c>
      <c r="Z51" s="19">
        <v>4</v>
      </c>
      <c r="AA51" s="19">
        <v>4</v>
      </c>
      <c r="AB51" s="15">
        <f t="shared" si="2"/>
        <v>79157.307026402821</v>
      </c>
      <c r="AC51" s="15">
        <f t="shared" si="3"/>
        <v>2847.3851448346336</v>
      </c>
      <c r="AD51" s="15">
        <f t="shared" si="4"/>
        <v>3263.3792752522463</v>
      </c>
      <c r="AE51" s="20">
        <f t="shared" si="5"/>
        <v>22.520640857965176</v>
      </c>
      <c r="AF51" s="20">
        <f t="shared" si="6"/>
        <v>82.687026315322782</v>
      </c>
      <c r="AG51" s="18">
        <f t="shared" si="7"/>
        <v>3224.3814352366926</v>
      </c>
      <c r="AH51" s="18">
        <f t="shared" si="8"/>
        <v>304.18692785251818</v>
      </c>
      <c r="AI51" s="20">
        <f t="shared" si="9"/>
        <v>480.51501486700465</v>
      </c>
      <c r="AJ51" s="20">
        <f t="shared" si="10"/>
        <v>4.5452570112851562</v>
      </c>
      <c r="AK51" s="20">
        <f t="shared" si="14"/>
        <v>81.217749006091424</v>
      </c>
      <c r="AL51" s="21">
        <f t="shared" si="15"/>
        <v>187.52165545859336</v>
      </c>
      <c r="AM51" s="25">
        <f t="shared" si="16"/>
        <v>2302.2534320780155</v>
      </c>
      <c r="AN51" s="22" t="s">
        <v>17</v>
      </c>
      <c r="AO51" s="22" t="s">
        <v>17</v>
      </c>
      <c r="AP51" s="22" t="s">
        <v>17</v>
      </c>
      <c r="AQ51" s="22" t="s">
        <v>17</v>
      </c>
      <c r="AR51" s="22" t="s">
        <v>17</v>
      </c>
      <c r="AS51" s="22" t="s">
        <v>17</v>
      </c>
      <c r="AT51" s="22" t="s">
        <v>17</v>
      </c>
      <c r="AU51" s="22" t="s">
        <v>17</v>
      </c>
    </row>
    <row r="52" spans="1:47" ht="15.75" x14ac:dyDescent="0.3">
      <c r="A52" s="24" t="s">
        <v>132</v>
      </c>
      <c r="B52" s="13">
        <v>597</v>
      </c>
      <c r="C52" s="13">
        <v>220</v>
      </c>
      <c r="D52" s="13">
        <v>9.8000000000000007</v>
      </c>
      <c r="E52" s="13">
        <v>17.5</v>
      </c>
      <c r="F52" s="13">
        <v>24</v>
      </c>
      <c r="G52" s="14" t="s">
        <v>17</v>
      </c>
      <c r="H52" s="15">
        <f t="shared" si="11"/>
        <v>107.5610346575284</v>
      </c>
      <c r="I52" s="15">
        <f t="shared" si="12"/>
        <v>137.02042631532279</v>
      </c>
      <c r="J52" s="16" t="s">
        <v>17</v>
      </c>
      <c r="K52" s="15">
        <f t="shared" si="17"/>
        <v>562</v>
      </c>
      <c r="L52" s="15">
        <f t="shared" si="18"/>
        <v>514</v>
      </c>
      <c r="M52" s="14" t="s">
        <v>120</v>
      </c>
      <c r="N52" s="14" t="s">
        <v>133</v>
      </c>
      <c r="O52" s="14">
        <v>130</v>
      </c>
      <c r="P52" s="14" t="s">
        <v>17</v>
      </c>
      <c r="Q52" s="14" t="s">
        <v>17</v>
      </c>
      <c r="R52" s="14">
        <f t="shared" si="13"/>
        <v>55</v>
      </c>
      <c r="S52" s="14">
        <v>0</v>
      </c>
      <c r="T52" s="17">
        <f t="shared" si="0"/>
        <v>2.0131964473723101</v>
      </c>
      <c r="U52" s="18">
        <f t="shared" si="1"/>
        <v>18.71678209290452</v>
      </c>
      <c r="V52" s="19">
        <v>1</v>
      </c>
      <c r="W52" s="19">
        <v>1</v>
      </c>
      <c r="X52" s="19">
        <v>2</v>
      </c>
      <c r="Y52" s="19">
        <v>4</v>
      </c>
      <c r="Z52" s="19">
        <v>4</v>
      </c>
      <c r="AA52" s="19">
        <v>4</v>
      </c>
      <c r="AB52" s="15">
        <f t="shared" si="2"/>
        <v>82918.8025534966</v>
      </c>
      <c r="AC52" s="15">
        <f t="shared" si="3"/>
        <v>2777.8493317754305</v>
      </c>
      <c r="AD52" s="15">
        <f t="shared" si="4"/>
        <v>3141.1805563037956</v>
      </c>
      <c r="AE52" s="20">
        <f t="shared" si="5"/>
        <v>24.599929000530803</v>
      </c>
      <c r="AF52" s="20">
        <f t="shared" si="6"/>
        <v>70.135426315322789</v>
      </c>
      <c r="AG52" s="18">
        <f t="shared" si="7"/>
        <v>3116.2763683716485</v>
      </c>
      <c r="AH52" s="18">
        <f t="shared" si="8"/>
        <v>283.29785167014984</v>
      </c>
      <c r="AI52" s="20">
        <f t="shared" si="9"/>
        <v>442.06701205128286</v>
      </c>
      <c r="AJ52" s="20">
        <f t="shared" si="10"/>
        <v>4.7689780765633323</v>
      </c>
      <c r="AK52" s="20">
        <f t="shared" si="14"/>
        <v>72.917749006091427</v>
      </c>
      <c r="AL52" s="21">
        <f t="shared" si="15"/>
        <v>118.76115464422796</v>
      </c>
      <c r="AM52" s="25">
        <f t="shared" si="16"/>
        <v>2607.3643910416667</v>
      </c>
      <c r="AN52" s="22" t="s">
        <v>17</v>
      </c>
      <c r="AO52" s="22" t="s">
        <v>17</v>
      </c>
      <c r="AP52" s="22" t="s">
        <v>17</v>
      </c>
      <c r="AQ52" s="22" t="s">
        <v>17</v>
      </c>
      <c r="AR52" s="22" t="s">
        <v>17</v>
      </c>
      <c r="AS52" s="22" t="s">
        <v>17</v>
      </c>
      <c r="AT52" s="22" t="s">
        <v>17</v>
      </c>
      <c r="AU52" s="22" t="s">
        <v>17</v>
      </c>
    </row>
    <row r="53" spans="1:47" ht="15.75" x14ac:dyDescent="0.3">
      <c r="A53" s="24" t="s">
        <v>134</v>
      </c>
      <c r="B53" s="13">
        <v>600</v>
      </c>
      <c r="C53" s="13">
        <v>220</v>
      </c>
      <c r="D53" s="13">
        <v>12</v>
      </c>
      <c r="E53" s="13">
        <v>19</v>
      </c>
      <c r="F53" s="13">
        <v>24</v>
      </c>
      <c r="G53" s="14" t="s">
        <v>17</v>
      </c>
      <c r="H53" s="15">
        <f t="shared" si="11"/>
        <v>122.4477746575284</v>
      </c>
      <c r="I53" s="15">
        <f t="shared" si="12"/>
        <v>155.98442631532279</v>
      </c>
      <c r="J53" s="16" t="s">
        <v>17</v>
      </c>
      <c r="K53" s="15">
        <f t="shared" si="17"/>
        <v>562</v>
      </c>
      <c r="L53" s="15">
        <f t="shared" si="18"/>
        <v>514</v>
      </c>
      <c r="M53" s="14" t="s">
        <v>120</v>
      </c>
      <c r="N53" s="14" t="s">
        <v>135</v>
      </c>
      <c r="O53" s="14">
        <v>130</v>
      </c>
      <c r="P53" s="14" t="s">
        <v>17</v>
      </c>
      <c r="Q53" s="14" t="s">
        <v>17</v>
      </c>
      <c r="R53" s="14">
        <f t="shared" si="13"/>
        <v>55</v>
      </c>
      <c r="S53" s="14">
        <v>0</v>
      </c>
      <c r="T53" s="17">
        <f t="shared" si="0"/>
        <v>2.0147964473723099</v>
      </c>
      <c r="U53" s="18">
        <f t="shared" si="1"/>
        <v>16.454332902394114</v>
      </c>
      <c r="V53" s="19">
        <v>1</v>
      </c>
      <c r="W53" s="19">
        <v>1</v>
      </c>
      <c r="X53" s="19">
        <v>1</v>
      </c>
      <c r="Y53" s="19">
        <v>4</v>
      </c>
      <c r="Z53" s="19">
        <v>4</v>
      </c>
      <c r="AA53" s="19">
        <v>4</v>
      </c>
      <c r="AB53" s="15">
        <f t="shared" si="2"/>
        <v>92083.398066829919</v>
      </c>
      <c r="AC53" s="15">
        <f t="shared" si="3"/>
        <v>3069.4466022276638</v>
      </c>
      <c r="AD53" s="15">
        <f t="shared" si="4"/>
        <v>3512.3997563037956</v>
      </c>
      <c r="AE53" s="20">
        <f t="shared" si="5"/>
        <v>24.296854258648512</v>
      </c>
      <c r="AF53" s="20">
        <f t="shared" si="6"/>
        <v>83.78442631532279</v>
      </c>
      <c r="AG53" s="18">
        <f t="shared" si="7"/>
        <v>3387.3372999501789</v>
      </c>
      <c r="AH53" s="18">
        <f t="shared" si="8"/>
        <v>307.93975454092538</v>
      </c>
      <c r="AI53" s="20">
        <f t="shared" si="9"/>
        <v>485.64927894596838</v>
      </c>
      <c r="AJ53" s="20">
        <f t="shared" si="10"/>
        <v>4.6600288158290395</v>
      </c>
      <c r="AK53" s="20">
        <f t="shared" si="14"/>
        <v>78.117749006091429</v>
      </c>
      <c r="AL53" s="21">
        <f t="shared" si="15"/>
        <v>165.41674049379733</v>
      </c>
      <c r="AM53" s="25">
        <f t="shared" si="16"/>
        <v>2845.5267096666666</v>
      </c>
      <c r="AN53" s="22" t="s">
        <v>17</v>
      </c>
      <c r="AO53" s="22" t="s">
        <v>17</v>
      </c>
      <c r="AP53" s="22" t="s">
        <v>17</v>
      </c>
      <c r="AQ53" s="22" t="s">
        <v>17</v>
      </c>
      <c r="AR53" s="22" t="s">
        <v>17</v>
      </c>
      <c r="AS53" s="22" t="s">
        <v>17</v>
      </c>
      <c r="AT53" s="22" t="s">
        <v>17</v>
      </c>
      <c r="AU53" s="22" t="s">
        <v>17</v>
      </c>
    </row>
    <row r="54" spans="1:47" ht="15.75" x14ac:dyDescent="0.3">
      <c r="A54" s="24" t="s">
        <v>136</v>
      </c>
      <c r="B54" s="13">
        <v>610</v>
      </c>
      <c r="C54" s="13">
        <v>224</v>
      </c>
      <c r="D54" s="13">
        <v>15</v>
      </c>
      <c r="E54" s="13">
        <v>24</v>
      </c>
      <c r="F54" s="13">
        <v>24</v>
      </c>
      <c r="G54" s="14" t="s">
        <v>17</v>
      </c>
      <c r="H54" s="15">
        <f t="shared" si="11"/>
        <v>154.46007465752839</v>
      </c>
      <c r="I54" s="15">
        <f t="shared" si="12"/>
        <v>196.76442631532279</v>
      </c>
      <c r="J54" s="16" t="s">
        <v>17</v>
      </c>
      <c r="K54" s="15">
        <f t="shared" si="17"/>
        <v>562</v>
      </c>
      <c r="L54" s="15">
        <f t="shared" si="18"/>
        <v>514</v>
      </c>
      <c r="M54" s="14" t="s">
        <v>120</v>
      </c>
      <c r="N54" s="14" t="s">
        <v>137</v>
      </c>
      <c r="O54" s="14">
        <v>134</v>
      </c>
      <c r="P54" s="14" t="s">
        <v>17</v>
      </c>
      <c r="Q54" s="14" t="s">
        <v>17</v>
      </c>
      <c r="R54" s="14">
        <f t="shared" si="13"/>
        <v>56</v>
      </c>
      <c r="S54" s="14">
        <v>0</v>
      </c>
      <c r="T54" s="17">
        <f t="shared" si="0"/>
        <v>2.0447964473723101</v>
      </c>
      <c r="U54" s="18">
        <f t="shared" si="1"/>
        <v>13.23834946931153</v>
      </c>
      <c r="V54" s="19">
        <v>1</v>
      </c>
      <c r="W54" s="19">
        <v>1</v>
      </c>
      <c r="X54" s="19">
        <v>1</v>
      </c>
      <c r="Y54" s="19">
        <v>2</v>
      </c>
      <c r="Z54" s="19">
        <v>4</v>
      </c>
      <c r="AA54" s="19">
        <v>4</v>
      </c>
      <c r="AB54" s="15">
        <f t="shared" si="2"/>
        <v>118302.06200016325</v>
      </c>
      <c r="AC54" s="15">
        <f t="shared" si="3"/>
        <v>3878.7561311528934</v>
      </c>
      <c r="AD54" s="15">
        <f t="shared" si="4"/>
        <v>4471.0387563037957</v>
      </c>
      <c r="AE54" s="20">
        <f t="shared" si="5"/>
        <v>24.520135476511118</v>
      </c>
      <c r="AF54" s="20">
        <f t="shared" si="6"/>
        <v>104.36442631532279</v>
      </c>
      <c r="AG54" s="18">
        <f t="shared" si="7"/>
        <v>4520.7502153211435</v>
      </c>
      <c r="AH54" s="18">
        <f t="shared" si="8"/>
        <v>403.638412082245</v>
      </c>
      <c r="AI54" s="20">
        <f t="shared" si="9"/>
        <v>640.08344289326681</v>
      </c>
      <c r="AJ54" s="20">
        <f t="shared" si="10"/>
        <v>4.7932707830396426</v>
      </c>
      <c r="AK54" s="20">
        <f t="shared" si="14"/>
        <v>91.117749006091429</v>
      </c>
      <c r="AL54" s="21">
        <f t="shared" si="15"/>
        <v>318.12834791311133</v>
      </c>
      <c r="AM54" s="25">
        <f t="shared" si="16"/>
        <v>3859.5732439040007</v>
      </c>
      <c r="AN54" s="22" t="s">
        <v>17</v>
      </c>
      <c r="AO54" s="22" t="s">
        <v>17</v>
      </c>
      <c r="AP54" s="22" t="s">
        <v>17</v>
      </c>
      <c r="AQ54" s="22" t="s">
        <v>17</v>
      </c>
      <c r="AR54" s="22" t="s">
        <v>17</v>
      </c>
      <c r="AS54" s="22" t="s">
        <v>17</v>
      </c>
      <c r="AT54" s="22" t="s">
        <v>17</v>
      </c>
      <c r="AU54" s="22" t="s">
        <v>17</v>
      </c>
    </row>
    <row r="55" spans="1:47" ht="15.75" x14ac:dyDescent="0.3">
      <c r="A55" s="24" t="s">
        <v>138</v>
      </c>
      <c r="B55" s="13">
        <v>753</v>
      </c>
      <c r="C55" s="13">
        <v>263</v>
      </c>
      <c r="D55" s="13">
        <v>11.5</v>
      </c>
      <c r="E55" s="13">
        <v>17</v>
      </c>
      <c r="F55" s="13">
        <v>17</v>
      </c>
      <c r="G55" s="14" t="s">
        <v>17</v>
      </c>
      <c r="H55" s="15">
        <f t="shared" si="11"/>
        <v>137.04985082643353</v>
      </c>
      <c r="I55" s="15">
        <f t="shared" si="12"/>
        <v>174.5857972311255</v>
      </c>
      <c r="J55" s="16" t="s">
        <v>17</v>
      </c>
      <c r="K55" s="15">
        <f t="shared" si="17"/>
        <v>719</v>
      </c>
      <c r="L55" s="15">
        <f t="shared" si="18"/>
        <v>685</v>
      </c>
      <c r="M55" s="14" t="s">
        <v>120</v>
      </c>
      <c r="N55" s="14">
        <v>102</v>
      </c>
      <c r="O55" s="14">
        <v>173</v>
      </c>
      <c r="P55" s="14" t="s">
        <v>17</v>
      </c>
      <c r="Q55" s="14" t="s">
        <v>17</v>
      </c>
      <c r="R55" s="14">
        <f t="shared" si="13"/>
        <v>65.75</v>
      </c>
      <c r="S55" s="14">
        <v>0</v>
      </c>
      <c r="T55" s="17">
        <f t="shared" si="0"/>
        <v>2.505814150222053</v>
      </c>
      <c r="U55" s="18">
        <f t="shared" si="1"/>
        <v>18.2839611653101</v>
      </c>
      <c r="V55" s="19">
        <v>1</v>
      </c>
      <c r="W55" s="19">
        <v>2</v>
      </c>
      <c r="X55" s="19">
        <v>3</v>
      </c>
      <c r="Y55" s="19">
        <v>4</v>
      </c>
      <c r="Z55" s="19">
        <v>4</v>
      </c>
      <c r="AA55" s="19">
        <v>4</v>
      </c>
      <c r="AB55" s="15">
        <f t="shared" si="2"/>
        <v>159877.47197660481</v>
      </c>
      <c r="AC55" s="15">
        <f t="shared" si="3"/>
        <v>4246.4135983161968</v>
      </c>
      <c r="AD55" s="15">
        <f t="shared" si="4"/>
        <v>4865.1615134993817</v>
      </c>
      <c r="AE55" s="20">
        <f t="shared" si="5"/>
        <v>30.261411487735643</v>
      </c>
      <c r="AF55" s="20">
        <f t="shared" si="6"/>
        <v>92.900797231125495</v>
      </c>
      <c r="AG55" s="18">
        <f t="shared" si="7"/>
        <v>5165.8679431377286</v>
      </c>
      <c r="AH55" s="18">
        <f t="shared" si="8"/>
        <v>392.84166867967519</v>
      </c>
      <c r="AI55" s="20">
        <f t="shared" si="9"/>
        <v>614.07691786747716</v>
      </c>
      <c r="AJ55" s="20">
        <f t="shared" si="10"/>
        <v>5.4396028765852131</v>
      </c>
      <c r="AK55" s="20">
        <f t="shared" si="14"/>
        <v>65.416738879314764</v>
      </c>
      <c r="AL55" s="21">
        <f t="shared" si="15"/>
        <v>137.08957722974225</v>
      </c>
      <c r="AM55" s="25">
        <f t="shared" si="16"/>
        <v>6980.0824691626667</v>
      </c>
      <c r="AN55" s="22" t="s">
        <v>17</v>
      </c>
      <c r="AO55" s="22" t="s">
        <v>17</v>
      </c>
      <c r="AP55" s="22" t="s">
        <v>17</v>
      </c>
      <c r="AQ55" s="22" t="s">
        <v>17</v>
      </c>
      <c r="AR55" s="22" t="s">
        <v>17</v>
      </c>
      <c r="AS55" s="22" t="s">
        <v>17</v>
      </c>
      <c r="AT55" s="22" t="s">
        <v>17</v>
      </c>
      <c r="AU55" s="22" t="s">
        <v>17</v>
      </c>
    </row>
    <row r="56" spans="1:47" ht="15.75" x14ac:dyDescent="0.3">
      <c r="A56" s="24" t="s">
        <v>139</v>
      </c>
      <c r="B56" s="13">
        <v>753</v>
      </c>
      <c r="C56" s="13">
        <v>265</v>
      </c>
      <c r="D56" s="13">
        <v>13.2</v>
      </c>
      <c r="E56" s="13">
        <v>17</v>
      </c>
      <c r="F56" s="13">
        <v>17</v>
      </c>
      <c r="G56" s="14" t="s">
        <v>17</v>
      </c>
      <c r="H56" s="15">
        <f t="shared" si="11"/>
        <v>147.17870582643351</v>
      </c>
      <c r="I56" s="15">
        <f t="shared" si="12"/>
        <v>187.48879723112549</v>
      </c>
      <c r="J56" s="16" t="s">
        <v>17</v>
      </c>
      <c r="K56" s="15">
        <f t="shared" si="17"/>
        <v>719</v>
      </c>
      <c r="L56" s="15">
        <f t="shared" si="18"/>
        <v>685</v>
      </c>
      <c r="M56" s="14" t="s">
        <v>120</v>
      </c>
      <c r="N56" s="14">
        <v>103</v>
      </c>
      <c r="O56" s="14">
        <v>175</v>
      </c>
      <c r="P56" s="14" t="s">
        <v>17</v>
      </c>
      <c r="Q56" s="14" t="s">
        <v>17</v>
      </c>
      <c r="R56" s="14">
        <f t="shared" si="13"/>
        <v>66.25</v>
      </c>
      <c r="S56" s="14">
        <v>0</v>
      </c>
      <c r="T56" s="17">
        <f t="shared" si="0"/>
        <v>2.5104141502220529</v>
      </c>
      <c r="U56" s="18">
        <f t="shared" si="1"/>
        <v>17.056911433795054</v>
      </c>
      <c r="V56" s="19">
        <v>1</v>
      </c>
      <c r="W56" s="19">
        <v>1</v>
      </c>
      <c r="X56" s="19">
        <v>2</v>
      </c>
      <c r="Y56" s="19">
        <v>4</v>
      </c>
      <c r="Z56" s="19">
        <v>4</v>
      </c>
      <c r="AA56" s="19">
        <v>4</v>
      </c>
      <c r="AB56" s="15">
        <f t="shared" si="2"/>
        <v>166064.19752910486</v>
      </c>
      <c r="AC56" s="15">
        <f t="shared" si="3"/>
        <v>4410.7356581435552</v>
      </c>
      <c r="AD56" s="15">
        <f t="shared" si="4"/>
        <v>5109.8939384993819</v>
      </c>
      <c r="AE56" s="20">
        <f t="shared" si="5"/>
        <v>29.761193537209074</v>
      </c>
      <c r="AF56" s="20">
        <f t="shared" si="6"/>
        <v>105.41279723112548</v>
      </c>
      <c r="AG56" s="18">
        <f t="shared" si="7"/>
        <v>5289.440360171905</v>
      </c>
      <c r="AH56" s="18">
        <f t="shared" si="8"/>
        <v>399.20304605070982</v>
      </c>
      <c r="AI56" s="20">
        <f t="shared" si="9"/>
        <v>630.81148813212292</v>
      </c>
      <c r="AJ56" s="20">
        <f t="shared" si="10"/>
        <v>5.3115001838504154</v>
      </c>
      <c r="AK56" s="20">
        <f t="shared" si="14"/>
        <v>67.116738879314767</v>
      </c>
      <c r="AL56" s="21">
        <f t="shared" si="15"/>
        <v>161.53334505741154</v>
      </c>
      <c r="AM56" s="25">
        <f t="shared" si="16"/>
        <v>7140.5379253333331</v>
      </c>
      <c r="AN56" s="22" t="s">
        <v>17</v>
      </c>
      <c r="AO56" s="22" t="s">
        <v>17</v>
      </c>
      <c r="AP56" s="22" t="s">
        <v>17</v>
      </c>
      <c r="AQ56" s="22" t="s">
        <v>17</v>
      </c>
      <c r="AR56" s="22" t="s">
        <v>17</v>
      </c>
      <c r="AS56" s="22" t="s">
        <v>17</v>
      </c>
      <c r="AT56" s="22" t="s">
        <v>17</v>
      </c>
      <c r="AU56" s="22" t="s">
        <v>17</v>
      </c>
    </row>
    <row r="57" spans="1:47" ht="15.75" x14ac:dyDescent="0.3">
      <c r="A57" s="24" t="s">
        <v>140</v>
      </c>
      <c r="B57" s="13">
        <v>762</v>
      </c>
      <c r="C57" s="13">
        <v>267</v>
      </c>
      <c r="D57" s="13">
        <v>14.4</v>
      </c>
      <c r="E57" s="13">
        <v>21.6</v>
      </c>
      <c r="F57" s="13">
        <v>17</v>
      </c>
      <c r="G57" s="14" t="s">
        <v>17</v>
      </c>
      <c r="H57" s="15">
        <f t="shared" si="11"/>
        <v>173.74561782643354</v>
      </c>
      <c r="I57" s="15">
        <f t="shared" si="12"/>
        <v>221.33199723112554</v>
      </c>
      <c r="J57" s="16" t="s">
        <v>17</v>
      </c>
      <c r="K57" s="15">
        <f t="shared" si="17"/>
        <v>718.8</v>
      </c>
      <c r="L57" s="15">
        <f t="shared" si="18"/>
        <v>684.8</v>
      </c>
      <c r="M57" s="14" t="s">
        <v>120</v>
      </c>
      <c r="N57" s="14">
        <v>104</v>
      </c>
      <c r="O57" s="14">
        <v>177</v>
      </c>
      <c r="P57" s="14" t="s">
        <v>17</v>
      </c>
      <c r="Q57" s="14" t="s">
        <v>17</v>
      </c>
      <c r="R57" s="14">
        <f t="shared" si="13"/>
        <v>66.75</v>
      </c>
      <c r="S57" s="14">
        <v>0</v>
      </c>
      <c r="T57" s="17">
        <f t="shared" si="0"/>
        <v>2.5340141502220526</v>
      </c>
      <c r="U57" s="18">
        <f t="shared" si="1"/>
        <v>14.584621942830545</v>
      </c>
      <c r="V57" s="19">
        <v>1</v>
      </c>
      <c r="W57" s="19">
        <v>1</v>
      </c>
      <c r="X57" s="19">
        <v>1</v>
      </c>
      <c r="Y57" s="19">
        <v>4</v>
      </c>
      <c r="Z57" s="19">
        <v>4</v>
      </c>
      <c r="AA57" s="19">
        <v>4</v>
      </c>
      <c r="AB57" s="15">
        <f t="shared" si="2"/>
        <v>205824.98561432745</v>
      </c>
      <c r="AC57" s="15">
        <f t="shared" si="3"/>
        <v>5402.2305935519016</v>
      </c>
      <c r="AD57" s="15">
        <f t="shared" si="4"/>
        <v>6218.2770945270704</v>
      </c>
      <c r="AE57" s="20">
        <f t="shared" si="5"/>
        <v>30.494881170262939</v>
      </c>
      <c r="AF57" s="20">
        <f t="shared" si="6"/>
        <v>116.44239723112553</v>
      </c>
      <c r="AG57" s="18">
        <f t="shared" si="7"/>
        <v>6873.4358255444859</v>
      </c>
      <c r="AH57" s="18">
        <f t="shared" si="8"/>
        <v>514.86410678235848</v>
      </c>
      <c r="AI57" s="20">
        <f t="shared" si="9"/>
        <v>809.91198796599042</v>
      </c>
      <c r="AJ57" s="20">
        <f t="shared" si="10"/>
        <v>5.5726894225947152</v>
      </c>
      <c r="AK57" s="20">
        <f t="shared" si="14"/>
        <v>77.516738879314772</v>
      </c>
      <c r="AL57" s="21">
        <f t="shared" si="15"/>
        <v>273.58430937327358</v>
      </c>
      <c r="AM57" s="25">
        <f t="shared" si="16"/>
        <v>9390.9410358858713</v>
      </c>
      <c r="AN57" s="22" t="s">
        <v>17</v>
      </c>
      <c r="AO57" s="22" t="s">
        <v>17</v>
      </c>
      <c r="AP57" s="22" t="s">
        <v>17</v>
      </c>
      <c r="AQ57" s="22" t="s">
        <v>17</v>
      </c>
      <c r="AR57" s="22" t="s">
        <v>17</v>
      </c>
      <c r="AS57" s="22" t="s">
        <v>17</v>
      </c>
      <c r="AT57" s="22" t="s">
        <v>17</v>
      </c>
      <c r="AU57" s="22" t="s">
        <v>17</v>
      </c>
    </row>
    <row r="58" spans="1:47" ht="15.75" x14ac:dyDescent="0.3">
      <c r="A58" s="24" t="s">
        <v>141</v>
      </c>
      <c r="B58" s="13">
        <v>770</v>
      </c>
      <c r="C58" s="13">
        <v>268</v>
      </c>
      <c r="D58" s="13">
        <v>15.6</v>
      </c>
      <c r="E58" s="13">
        <v>25.4</v>
      </c>
      <c r="F58" s="13">
        <v>17</v>
      </c>
      <c r="G58" s="14" t="s">
        <v>17</v>
      </c>
      <c r="H58" s="15">
        <f t="shared" si="11"/>
        <v>196.89369782643351</v>
      </c>
      <c r="I58" s="15">
        <f t="shared" si="12"/>
        <v>250.81999723112548</v>
      </c>
      <c r="J58" s="16" t="s">
        <v>17</v>
      </c>
      <c r="K58" s="15">
        <f t="shared" si="17"/>
        <v>719.2</v>
      </c>
      <c r="L58" s="15">
        <f t="shared" si="18"/>
        <v>685.2</v>
      </c>
      <c r="M58" s="14" t="s">
        <v>120</v>
      </c>
      <c r="N58" s="14">
        <v>106</v>
      </c>
      <c r="O58" s="14">
        <v>178</v>
      </c>
      <c r="P58" s="14" t="s">
        <v>17</v>
      </c>
      <c r="Q58" s="14" t="s">
        <v>17</v>
      </c>
      <c r="R58" s="14">
        <f t="shared" si="13"/>
        <v>67</v>
      </c>
      <c r="S58" s="14">
        <v>0</v>
      </c>
      <c r="T58" s="17">
        <f t="shared" si="0"/>
        <v>2.5516141502220528</v>
      </c>
      <c r="U58" s="18">
        <f t="shared" si="1"/>
        <v>12.959349021274219</v>
      </c>
      <c r="V58" s="19">
        <v>1</v>
      </c>
      <c r="W58" s="19">
        <v>1</v>
      </c>
      <c r="X58" s="19">
        <v>1</v>
      </c>
      <c r="Y58" s="19">
        <v>4</v>
      </c>
      <c r="Z58" s="19">
        <v>4</v>
      </c>
      <c r="AA58" s="19">
        <v>4</v>
      </c>
      <c r="AB58" s="15">
        <f t="shared" si="2"/>
        <v>240280.17733438412</v>
      </c>
      <c r="AC58" s="15">
        <f t="shared" si="3"/>
        <v>6241.0435671268606</v>
      </c>
      <c r="AD58" s="15">
        <f t="shared" si="4"/>
        <v>7174.1782624716934</v>
      </c>
      <c r="AE58" s="20">
        <f t="shared" si="5"/>
        <v>30.951228575011903</v>
      </c>
      <c r="AF58" s="20">
        <f t="shared" si="6"/>
        <v>127.27439723112549</v>
      </c>
      <c r="AG58" s="18">
        <f t="shared" si="7"/>
        <v>8175.0128290109324</v>
      </c>
      <c r="AH58" s="18">
        <f t="shared" si="8"/>
        <v>610.07558425454715</v>
      </c>
      <c r="AI58" s="20">
        <f t="shared" si="9"/>
        <v>958.79797179985792</v>
      </c>
      <c r="AJ58" s="20">
        <f t="shared" si="10"/>
        <v>5.7090407388310007</v>
      </c>
      <c r="AK58" s="20">
        <f t="shared" si="14"/>
        <v>86.316738879314755</v>
      </c>
      <c r="AL58" s="21">
        <f t="shared" si="15"/>
        <v>408.85546407854167</v>
      </c>
      <c r="AM58" s="26">
        <f t="shared" si="16"/>
        <v>11294.653725884353</v>
      </c>
      <c r="AN58" s="22" t="s">
        <v>17</v>
      </c>
      <c r="AO58" s="22" t="s">
        <v>17</v>
      </c>
      <c r="AP58" s="22" t="s">
        <v>17</v>
      </c>
      <c r="AQ58" s="22" t="s">
        <v>17</v>
      </c>
      <c r="AR58" s="22" t="s">
        <v>17</v>
      </c>
      <c r="AS58" s="22" t="s">
        <v>17</v>
      </c>
      <c r="AT58" s="22" t="s">
        <v>17</v>
      </c>
      <c r="AU58" s="22" t="s">
        <v>17</v>
      </c>
    </row>
  </sheetData>
  <mergeCells count="18">
    <mergeCell ref="T1:U2"/>
    <mergeCell ref="A1:A3"/>
    <mergeCell ref="B1:G2"/>
    <mergeCell ref="H1:H2"/>
    <mergeCell ref="I1:I2"/>
    <mergeCell ref="J1:S2"/>
    <mergeCell ref="AA3:AA4"/>
    <mergeCell ref="V1:AA1"/>
    <mergeCell ref="AB1:AU1"/>
    <mergeCell ref="V2:X2"/>
    <mergeCell ref="Y2:AA2"/>
    <mergeCell ref="AB2:AF2"/>
    <mergeCell ref="AG2:AJ2"/>
    <mergeCell ref="V3:V4"/>
    <mergeCell ref="W3:W4"/>
    <mergeCell ref="X3:X4"/>
    <mergeCell ref="Y3:Y4"/>
    <mergeCell ref="Z3:Z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28" workbookViewId="0">
      <selection activeCell="A54" sqref="A54:C64"/>
    </sheetView>
  </sheetViews>
  <sheetFormatPr defaultRowHeight="13.5" x14ac:dyDescent="0.25"/>
  <cols>
    <col min="1" max="6" width="10.7109375" style="28" customWidth="1"/>
    <col min="7" max="16384" width="9.140625" style="28"/>
  </cols>
  <sheetData>
    <row r="1" spans="1:6" x14ac:dyDescent="0.25">
      <c r="A1" s="27" t="s">
        <v>143</v>
      </c>
    </row>
    <row r="2" spans="1:6" ht="15" x14ac:dyDescent="0.3">
      <c r="A2" s="29" t="s">
        <v>150</v>
      </c>
      <c r="B2" s="30">
        <v>2</v>
      </c>
      <c r="C2" s="28" t="s">
        <v>142</v>
      </c>
      <c r="D2" s="29" t="s">
        <v>175</v>
      </c>
      <c r="E2" s="30">
        <v>5</v>
      </c>
      <c r="F2" s="28" t="s">
        <v>176</v>
      </c>
    </row>
    <row r="3" spans="1:6" ht="15" x14ac:dyDescent="0.3">
      <c r="A3" s="29" t="s">
        <v>151</v>
      </c>
      <c r="B3" s="30">
        <v>3</v>
      </c>
      <c r="C3" s="28" t="s">
        <v>142</v>
      </c>
    </row>
    <row r="5" spans="1:6" x14ac:dyDescent="0.25">
      <c r="A5" s="27" t="s">
        <v>144</v>
      </c>
    </row>
    <row r="7" spans="1:6" x14ac:dyDescent="0.25">
      <c r="A7" s="31" t="s">
        <v>0</v>
      </c>
      <c r="B7" s="31">
        <v>200</v>
      </c>
      <c r="D7" s="29" t="s">
        <v>166</v>
      </c>
      <c r="E7" s="31">
        <v>275</v>
      </c>
    </row>
    <row r="9" spans="1:6" ht="15" x14ac:dyDescent="0.3">
      <c r="A9" s="29" t="s">
        <v>145</v>
      </c>
      <c r="B9" s="31">
        <f>VLOOKUP(CONCATENATE(A7," ",B7),Sagomario!A6:AU58,2,FALSE)</f>
        <v>200</v>
      </c>
      <c r="C9" s="28" t="s">
        <v>46</v>
      </c>
      <c r="D9" s="29" t="s">
        <v>174</v>
      </c>
      <c r="E9" s="30">
        <f>VLOOKUP(CONCATENATE(A7," ",B7),Sagomario!A6:AU58,8,FALSE)/100</f>
        <v>0.223600236643821</v>
      </c>
      <c r="F9" s="28" t="s">
        <v>142</v>
      </c>
    </row>
    <row r="10" spans="1:6" ht="15.75" x14ac:dyDescent="0.25">
      <c r="A10" s="29" t="s">
        <v>146</v>
      </c>
      <c r="B10" s="31">
        <f>VLOOKUP(CONCATENATE(A7," ",B7),Sagomario!A6:AU58,3,FALSE)</f>
        <v>100</v>
      </c>
      <c r="C10" s="28" t="s">
        <v>46</v>
      </c>
      <c r="D10" s="29" t="s">
        <v>148</v>
      </c>
      <c r="E10" s="30">
        <f>VLOOKUP(CONCATENATE(A7," ",B7),Sagomario!A6:AU58,9,FALSE)*100</f>
        <v>2848.4106578830701</v>
      </c>
      <c r="F10" s="28" t="s">
        <v>160</v>
      </c>
    </row>
    <row r="11" spans="1:6" ht="15" x14ac:dyDescent="0.3">
      <c r="A11" s="29" t="s">
        <v>152</v>
      </c>
      <c r="B11" s="31">
        <f>VLOOKUP(CONCATENATE(A7," ",B7),Sagomario!A6:AU58,4,FALSE)</f>
        <v>5.6</v>
      </c>
      <c r="C11" s="28" t="s">
        <v>46</v>
      </c>
      <c r="D11" s="29"/>
    </row>
    <row r="12" spans="1:6" ht="15" x14ac:dyDescent="0.3">
      <c r="A12" s="29" t="s">
        <v>153</v>
      </c>
      <c r="B12" s="31">
        <f>VLOOKUP(CONCATENATE(A7," ",B7),Sagomario!A6:AU58,5,FALSE)</f>
        <v>8.5</v>
      </c>
      <c r="C12" s="28" t="s">
        <v>46</v>
      </c>
      <c r="D12" s="29"/>
    </row>
    <row r="13" spans="1:6" x14ac:dyDescent="0.25">
      <c r="A13" s="29" t="s">
        <v>147</v>
      </c>
      <c r="B13" s="31">
        <f>VLOOKUP(CONCATENATE(A7," ",B7),Sagomario!A6:AU58,6,FALSE)</f>
        <v>12</v>
      </c>
      <c r="C13" s="28" t="s">
        <v>46</v>
      </c>
    </row>
    <row r="15" spans="1:6" ht="15" x14ac:dyDescent="0.3">
      <c r="B15" s="32" t="s">
        <v>154</v>
      </c>
      <c r="C15" s="32" t="s">
        <v>164</v>
      </c>
      <c r="D15" s="32" t="s">
        <v>163</v>
      </c>
      <c r="E15" s="32" t="s">
        <v>162</v>
      </c>
      <c r="F15" s="32" t="s">
        <v>161</v>
      </c>
    </row>
    <row r="16" spans="1:6" ht="15.75" x14ac:dyDescent="0.25">
      <c r="B16" s="31" t="s">
        <v>157</v>
      </c>
      <c r="C16" s="31" t="s">
        <v>158</v>
      </c>
      <c r="D16" s="31" t="s">
        <v>158</v>
      </c>
      <c r="E16" s="31" t="s">
        <v>149</v>
      </c>
      <c r="F16" s="31" t="s">
        <v>159</v>
      </c>
    </row>
    <row r="17" spans="1:6" x14ac:dyDescent="0.25">
      <c r="A17" s="31" t="s">
        <v>155</v>
      </c>
      <c r="B17" s="33">
        <f>VLOOKUP(CONCATENATE(A7," ",B7),Sagomario!A6:AU58,28,FALSE)*10000</f>
        <v>19431661.975305334</v>
      </c>
      <c r="C17" s="39">
        <f>VLOOKUP(CONCATENATE(A7," ",B7),Sagomario!A6:AU58,29,FALSE)*1000</f>
        <v>194316.61975305332</v>
      </c>
      <c r="D17" s="39">
        <f>VLOOKUP(CONCATENATE(A7," ",B7),Sagomario!A6:AU58,30,FALSE)*1000</f>
        <v>220638.64730170404</v>
      </c>
      <c r="E17" s="39">
        <f>VLOOKUP(CONCATENATE(A7," ",B7),Sagomario!A6:AU58,31,FALSE)*10</f>
        <v>82.594983829091802</v>
      </c>
      <c r="F17" s="39">
        <f>E10-2*B10*B12+(B11+2*B13)*B12</f>
        <v>1400.0106578830701</v>
      </c>
    </row>
    <row r="18" spans="1:6" x14ac:dyDescent="0.25">
      <c r="A18" s="31" t="s">
        <v>156</v>
      </c>
      <c r="B18" s="33">
        <f>VLOOKUP(CONCATENATE(A7," ",B7),Sagomario!A6:AU58,33,FALSE)*10000</f>
        <v>1423680.0202865896</v>
      </c>
      <c r="C18" s="39">
        <f>VLOOKUP(CONCATENATE(A7," ",B7),Sagomario!A6:AU58,34,FALSE)*1000</f>
        <v>28473.600405731795</v>
      </c>
      <c r="D18" s="39">
        <f>VLOOKUP(CONCATENATE(A7," ",B7),Sagomario!A6:AU58,35,FALSE)*1000</f>
        <v>44612.157736669433</v>
      </c>
      <c r="E18" s="39">
        <f>VLOOKUP(CONCATENATE(A7," ",B7),Sagomario!A6:AU58,36,FALSE)*10</f>
        <v>22.356555600726928</v>
      </c>
      <c r="F18" s="39">
        <f>E10-B11*(B9-2*B12)</f>
        <v>1823.6106578830702</v>
      </c>
    </row>
    <row r="20" spans="1:6" x14ac:dyDescent="0.25">
      <c r="A20" s="27" t="s">
        <v>165</v>
      </c>
    </row>
    <row r="22" spans="1:6" x14ac:dyDescent="0.25">
      <c r="A22" s="34" t="s">
        <v>167</v>
      </c>
    </row>
    <row r="23" spans="1:6" x14ac:dyDescent="0.25">
      <c r="B23" s="29" t="s">
        <v>168</v>
      </c>
      <c r="C23" s="30">
        <f>(B9-2*(B12+B13))/B11</f>
        <v>28.392857142857146</v>
      </c>
      <c r="D23" s="35" t="s">
        <v>170</v>
      </c>
      <c r="E23" s="36">
        <f>IF(C23&lt;72*SQRT(235/E7),72*SQRT(235/E7),IF(C23&lt;83*SQRT(235/E7),83*SQRT(235/E7),124*SQRT(235/E7)))</f>
        <v>66.557971997076635</v>
      </c>
      <c r="F23" s="31">
        <f>IF(C23&lt;72*SQRT(235/E7),1,IF(C23&lt;83*SQRT(235/E7),2,3))</f>
        <v>1</v>
      </c>
    </row>
    <row r="25" spans="1:6" x14ac:dyDescent="0.25">
      <c r="A25" s="34" t="s">
        <v>169</v>
      </c>
    </row>
    <row r="26" spans="1:6" x14ac:dyDescent="0.25">
      <c r="B26" s="29" t="s">
        <v>168</v>
      </c>
      <c r="C26" s="30">
        <f>(B10-2*B13-B11)/2/B12</f>
        <v>4.1411764705882357</v>
      </c>
      <c r="D26" s="35" t="s">
        <v>170</v>
      </c>
      <c r="E26" s="36">
        <f>IF(C26&lt;9*SQRT(235/E7),9*SQRT(235/E7),IF(C26&lt;10*SQRT(235/E7),10*SQRT(235/E7),14*SQRT(235/E7)))</f>
        <v>8.3197464996345794</v>
      </c>
      <c r="F26" s="31">
        <f>IF(C26&lt;72*SQRT(235/E7),1,IF(C26&lt;83*SQRT(235/E7),2,3))</f>
        <v>1</v>
      </c>
    </row>
    <row r="28" spans="1:6" x14ac:dyDescent="0.25">
      <c r="A28" s="34"/>
      <c r="D28" s="37" t="s">
        <v>171</v>
      </c>
      <c r="E28" s="37"/>
      <c r="F28" s="38">
        <f>MAX(F23,F26)</f>
        <v>1</v>
      </c>
    </row>
    <row r="30" spans="1:6" x14ac:dyDescent="0.25">
      <c r="A30" s="27" t="s">
        <v>172</v>
      </c>
    </row>
    <row r="32" spans="1:6" ht="15" x14ac:dyDescent="0.3">
      <c r="A32" s="29" t="s">
        <v>183</v>
      </c>
      <c r="B32" s="31">
        <v>1.05</v>
      </c>
    </row>
    <row r="34" spans="1:3" ht="15" x14ac:dyDescent="0.3">
      <c r="A34" s="29" t="s">
        <v>180</v>
      </c>
      <c r="B34" s="30">
        <f>1.3*(E9+B2)+1.5*B3</f>
        <v>7.390680307636968</v>
      </c>
      <c r="C34" s="28" t="s">
        <v>142</v>
      </c>
    </row>
    <row r="36" spans="1:3" ht="15" x14ac:dyDescent="0.3">
      <c r="A36" s="29" t="s">
        <v>206</v>
      </c>
      <c r="B36" s="30">
        <f>B34*E2/2</f>
        <v>18.476700769092421</v>
      </c>
      <c r="C36" s="28" t="s">
        <v>173</v>
      </c>
    </row>
    <row r="37" spans="1:3" ht="15" x14ac:dyDescent="0.3">
      <c r="A37" s="29" t="s">
        <v>207</v>
      </c>
      <c r="B37" s="30">
        <f>B34*E2^2/8</f>
        <v>23.095875961365525</v>
      </c>
      <c r="C37" s="28" t="s">
        <v>179</v>
      </c>
    </row>
    <row r="38" spans="1:3" x14ac:dyDescent="0.25">
      <c r="A38" s="29"/>
    </row>
    <row r="39" spans="1:3" x14ac:dyDescent="0.25">
      <c r="A39" s="40" t="s">
        <v>184</v>
      </c>
    </row>
    <row r="40" spans="1:3" ht="16.5" x14ac:dyDescent="0.3">
      <c r="A40" s="29" t="s">
        <v>181</v>
      </c>
      <c r="B40" s="28">
        <f>D17</f>
        <v>220638.64730170404</v>
      </c>
      <c r="C40" s="28" t="s">
        <v>182</v>
      </c>
    </row>
    <row r="41" spans="1:3" ht="15" x14ac:dyDescent="0.3">
      <c r="A41" s="29" t="s">
        <v>195</v>
      </c>
      <c r="B41" s="30">
        <f>B40*E7/B32/1000000</f>
        <v>57.786312388541532</v>
      </c>
      <c r="C41" s="28" t="s">
        <v>179</v>
      </c>
    </row>
    <row r="43" spans="1:3" ht="15" x14ac:dyDescent="0.3">
      <c r="B43" s="29" t="s">
        <v>188</v>
      </c>
      <c r="C43" s="41">
        <f>B37/B41</f>
        <v>0.39967727662001173</v>
      </c>
    </row>
    <row r="45" spans="1:3" x14ac:dyDescent="0.25">
      <c r="A45" s="40"/>
    </row>
    <row r="47" spans="1:3" x14ac:dyDescent="0.25">
      <c r="A47" s="40" t="s">
        <v>185</v>
      </c>
    </row>
    <row r="48" spans="1:3" ht="16.5" x14ac:dyDescent="0.3">
      <c r="A48" s="29" t="s">
        <v>186</v>
      </c>
      <c r="B48" s="39">
        <f>C17</f>
        <v>194316.61975305332</v>
      </c>
      <c r="C48" s="28" t="s">
        <v>182</v>
      </c>
    </row>
    <row r="49" spans="1:3" ht="15" x14ac:dyDescent="0.3">
      <c r="A49" s="29" t="s">
        <v>190</v>
      </c>
      <c r="B49" s="30">
        <f>B48*E7/B32/1000000</f>
        <v>50.892448030561582</v>
      </c>
      <c r="C49" s="28" t="s">
        <v>179</v>
      </c>
    </row>
    <row r="51" spans="1:3" ht="15" x14ac:dyDescent="0.3">
      <c r="B51" s="29" t="s">
        <v>189</v>
      </c>
      <c r="C51" s="41">
        <f>B37/B49</f>
        <v>0.45381735120102984</v>
      </c>
    </row>
    <row r="54" spans="1:3" x14ac:dyDescent="0.25">
      <c r="A54" s="27" t="s">
        <v>187</v>
      </c>
    </row>
    <row r="56" spans="1:3" ht="15" x14ac:dyDescent="0.3">
      <c r="A56" s="29" t="s">
        <v>183</v>
      </c>
      <c r="B56" s="31">
        <v>1.05</v>
      </c>
    </row>
    <row r="58" spans="1:3" ht="15" x14ac:dyDescent="0.3">
      <c r="A58" s="29" t="s">
        <v>180</v>
      </c>
      <c r="B58" s="30">
        <f>B34</f>
        <v>7.390680307636968</v>
      </c>
      <c r="C58" s="28" t="s">
        <v>142</v>
      </c>
    </row>
    <row r="60" spans="1:3" ht="15" x14ac:dyDescent="0.3">
      <c r="A60" s="29" t="s">
        <v>177</v>
      </c>
      <c r="B60" s="30">
        <f>B36</f>
        <v>18.476700769092421</v>
      </c>
      <c r="C60" s="28" t="s">
        <v>173</v>
      </c>
    </row>
    <row r="61" spans="1:3" ht="15" x14ac:dyDescent="0.3">
      <c r="A61" s="29" t="s">
        <v>178</v>
      </c>
      <c r="B61" s="30">
        <f>B37</f>
        <v>23.095875961365525</v>
      </c>
      <c r="C61" s="28" t="s">
        <v>179</v>
      </c>
    </row>
    <row r="63" spans="1:3" ht="16.5" x14ac:dyDescent="0.3">
      <c r="A63" s="29" t="s">
        <v>192</v>
      </c>
      <c r="B63" s="39">
        <f>F17</f>
        <v>1400.0106578830701</v>
      </c>
      <c r="C63" s="28" t="s">
        <v>160</v>
      </c>
    </row>
    <row r="64" spans="1:3" ht="15" x14ac:dyDescent="0.3">
      <c r="A64" s="29" t="s">
        <v>191</v>
      </c>
      <c r="B64" s="30">
        <f>B63/SQRT(3)*E7/B56/1000</f>
        <v>211.69671028972598</v>
      </c>
      <c r="C64" s="28" t="s">
        <v>173</v>
      </c>
    </row>
    <row r="66" spans="1:3" ht="15" x14ac:dyDescent="0.3">
      <c r="B66" s="29" t="s">
        <v>193</v>
      </c>
      <c r="C66" s="41">
        <f>B60/B64</f>
        <v>8.7279111441105506E-2</v>
      </c>
    </row>
    <row r="68" spans="1:3" x14ac:dyDescent="0.25">
      <c r="A68" s="28" t="str">
        <f>IF(C66&gt;0.5,"Interazione taglio-Momento","")</f>
        <v/>
      </c>
    </row>
    <row r="69" spans="1:3" x14ac:dyDescent="0.25">
      <c r="A69" s="29" t="s">
        <v>194</v>
      </c>
      <c r="B69" s="41">
        <f>IF(C66&lt;0.5,0,IF(C66&lt;1,(2*C66-1)^2,1))</f>
        <v>0</v>
      </c>
    </row>
    <row r="70" spans="1:3" ht="15" x14ac:dyDescent="0.3">
      <c r="A70" s="29" t="s">
        <v>196</v>
      </c>
      <c r="B70" s="30">
        <f>IF(B68&lt;&gt;"",(B40-B69*B63^2/(4*B11))*E7/B32/1000000,B41)</f>
        <v>57.786312388541532</v>
      </c>
      <c r="C70" s="28" t="s">
        <v>179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C49" sqref="C49"/>
    </sheetView>
  </sheetViews>
  <sheetFormatPr defaultRowHeight="13.5" x14ac:dyDescent="0.25"/>
  <cols>
    <col min="1" max="6" width="10.7109375" style="28" customWidth="1"/>
    <col min="7" max="16384" width="9.140625" style="28"/>
  </cols>
  <sheetData>
    <row r="1" spans="1:6" x14ac:dyDescent="0.25">
      <c r="A1" s="27" t="s">
        <v>143</v>
      </c>
    </row>
    <row r="2" spans="1:6" ht="15" x14ac:dyDescent="0.3">
      <c r="A2" s="29" t="s">
        <v>150</v>
      </c>
      <c r="B2" s="30">
        <v>2</v>
      </c>
      <c r="C2" s="28" t="s">
        <v>142</v>
      </c>
      <c r="D2" s="29" t="s">
        <v>175</v>
      </c>
      <c r="E2" s="30">
        <v>5</v>
      </c>
      <c r="F2" s="28" t="s">
        <v>176</v>
      </c>
    </row>
    <row r="3" spans="1:6" ht="15" x14ac:dyDescent="0.3">
      <c r="A3" s="29" t="s">
        <v>151</v>
      </c>
      <c r="B3" s="30">
        <v>3</v>
      </c>
      <c r="C3" s="28" t="s">
        <v>142</v>
      </c>
      <c r="D3" s="29" t="s">
        <v>197</v>
      </c>
      <c r="E3" s="30">
        <v>300</v>
      </c>
      <c r="F3" s="28" t="s">
        <v>173</v>
      </c>
    </row>
    <row r="5" spans="1:6" x14ac:dyDescent="0.25">
      <c r="A5" s="27" t="s">
        <v>144</v>
      </c>
    </row>
    <row r="7" spans="1:6" x14ac:dyDescent="0.25">
      <c r="A7" s="31" t="s">
        <v>0</v>
      </c>
      <c r="B7" s="31">
        <v>200</v>
      </c>
      <c r="D7" s="29" t="s">
        <v>166</v>
      </c>
      <c r="E7" s="31">
        <v>275</v>
      </c>
    </row>
    <row r="9" spans="1:6" ht="15" x14ac:dyDescent="0.3">
      <c r="A9" s="29" t="s">
        <v>145</v>
      </c>
      <c r="B9" s="31">
        <f>VLOOKUP(CONCATENATE(A7," ",B7),Sagomario!A6:AU58,2,FALSE)</f>
        <v>200</v>
      </c>
      <c r="C9" s="28" t="s">
        <v>46</v>
      </c>
      <c r="D9" s="29" t="s">
        <v>174</v>
      </c>
      <c r="E9" s="30">
        <f>VLOOKUP(CONCATENATE(A7," ",B7),Sagomario!A6:AU58,8,FALSE)/100</f>
        <v>0.223600236643821</v>
      </c>
      <c r="F9" s="28" t="s">
        <v>142</v>
      </c>
    </row>
    <row r="10" spans="1:6" ht="15.75" x14ac:dyDescent="0.25">
      <c r="A10" s="29" t="s">
        <v>146</v>
      </c>
      <c r="B10" s="31">
        <f>VLOOKUP(CONCATENATE(A7," ",B7),Sagomario!A6:AU58,3,FALSE)</f>
        <v>100</v>
      </c>
      <c r="C10" s="28" t="s">
        <v>46</v>
      </c>
      <c r="D10" s="29" t="s">
        <v>148</v>
      </c>
      <c r="E10" s="30">
        <f>VLOOKUP(CONCATENATE(A7," ",B7),Sagomario!A6:AU58,9,FALSE)*100</f>
        <v>2848.4106578830701</v>
      </c>
      <c r="F10" s="28" t="s">
        <v>160</v>
      </c>
    </row>
    <row r="11" spans="1:6" ht="15" x14ac:dyDescent="0.3">
      <c r="A11" s="29" t="s">
        <v>152</v>
      </c>
      <c r="B11" s="31">
        <f>VLOOKUP(CONCATENATE(A7," ",B7),Sagomario!A6:AU58,4,FALSE)</f>
        <v>5.6</v>
      </c>
      <c r="C11" s="28" t="s">
        <v>46</v>
      </c>
      <c r="D11" s="29"/>
    </row>
    <row r="12" spans="1:6" ht="15" x14ac:dyDescent="0.3">
      <c r="A12" s="29" t="s">
        <v>153</v>
      </c>
      <c r="B12" s="31">
        <f>VLOOKUP(CONCATENATE(A7," ",B7),Sagomario!A6:AU58,5,FALSE)</f>
        <v>8.5</v>
      </c>
      <c r="C12" s="28" t="s">
        <v>46</v>
      </c>
      <c r="D12" s="29"/>
    </row>
    <row r="13" spans="1:6" x14ac:dyDescent="0.25">
      <c r="A13" s="29" t="s">
        <v>147</v>
      </c>
      <c r="B13" s="31">
        <f>VLOOKUP(CONCATENATE(A7," ",B7),Sagomario!A6:AU58,6,FALSE)</f>
        <v>12</v>
      </c>
      <c r="C13" s="28" t="s">
        <v>46</v>
      </c>
    </row>
    <row r="15" spans="1:6" ht="15" x14ac:dyDescent="0.3">
      <c r="B15" s="32" t="s">
        <v>154</v>
      </c>
      <c r="C15" s="32" t="s">
        <v>164</v>
      </c>
      <c r="D15" s="32" t="s">
        <v>163</v>
      </c>
      <c r="E15" s="32" t="s">
        <v>162</v>
      </c>
      <c r="F15" s="32" t="s">
        <v>161</v>
      </c>
    </row>
    <row r="16" spans="1:6" ht="15.75" x14ac:dyDescent="0.25">
      <c r="B16" s="31" t="s">
        <v>157</v>
      </c>
      <c r="C16" s="31" t="s">
        <v>158</v>
      </c>
      <c r="D16" s="31" t="s">
        <v>158</v>
      </c>
      <c r="E16" s="31" t="s">
        <v>149</v>
      </c>
      <c r="F16" s="31" t="s">
        <v>159</v>
      </c>
    </row>
    <row r="17" spans="1:6" x14ac:dyDescent="0.25">
      <c r="A17" s="31" t="s">
        <v>155</v>
      </c>
      <c r="B17" s="33">
        <f>VLOOKUP(CONCATENATE(A7," ",B7),Sagomario!A6:AU58,28,FALSE)*10000</f>
        <v>19431661.975305334</v>
      </c>
      <c r="C17" s="39">
        <f>VLOOKUP(CONCATENATE(A7," ",B7),Sagomario!A6:AU58,29,FALSE)*1000</f>
        <v>194316.61975305332</v>
      </c>
      <c r="D17" s="39">
        <f>VLOOKUP(CONCATENATE(A7," ",B7),Sagomario!A6:AU58,30,FALSE)*1000</f>
        <v>220638.64730170404</v>
      </c>
      <c r="E17" s="39">
        <f>VLOOKUP(CONCATENATE(A7," ",B7),Sagomario!A6:AU58,31,FALSE)*10</f>
        <v>82.594983829091802</v>
      </c>
      <c r="F17" s="39">
        <f>E10-2*B10*B12+(B11+2*B13)*B12</f>
        <v>1400.0106578830701</v>
      </c>
    </row>
    <row r="18" spans="1:6" x14ac:dyDescent="0.25">
      <c r="A18" s="31" t="s">
        <v>156</v>
      </c>
      <c r="B18" s="33">
        <f>VLOOKUP(CONCATENATE(A7," ",B7),Sagomario!A6:AU58,33,FALSE)*10000</f>
        <v>1423680.0202865896</v>
      </c>
      <c r="C18" s="39">
        <f>VLOOKUP(CONCATENATE(A7," ",B7),Sagomario!A6:AU58,34,FALSE)*1000</f>
        <v>28473.600405731795</v>
      </c>
      <c r="D18" s="39">
        <f>VLOOKUP(CONCATENATE(A7," ",B7),Sagomario!A6:AU58,35,FALSE)*1000</f>
        <v>44612.157736669433</v>
      </c>
      <c r="E18" s="39">
        <f>VLOOKUP(CONCATENATE(A7," ",B7),Sagomario!A6:AU58,36,FALSE)*10</f>
        <v>22.356555600726928</v>
      </c>
      <c r="F18" s="39">
        <f>E10-B11*(B9-2*B12)</f>
        <v>1823.6106578830702</v>
      </c>
    </row>
    <row r="20" spans="1:6" x14ac:dyDescent="0.25">
      <c r="A20" s="27" t="s">
        <v>165</v>
      </c>
    </row>
    <row r="22" spans="1:6" x14ac:dyDescent="0.25">
      <c r="A22" s="34" t="s">
        <v>167</v>
      </c>
    </row>
    <row r="23" spans="1:6" x14ac:dyDescent="0.25">
      <c r="B23" s="29" t="s">
        <v>168</v>
      </c>
      <c r="C23" s="30">
        <f>(B9-2*(B12+B13))/B11</f>
        <v>28.392857142857146</v>
      </c>
      <c r="D23" s="35" t="s">
        <v>170</v>
      </c>
      <c r="E23" s="36">
        <f>IF(C23&lt;33*SQRT(235/E7),33*SQRT(235/E7),IF(C23&lt;38*SQRT(235/E7),38*SQRT(235/E7),42*SQRT(235/E7)))</f>
        <v>30.505737165326789</v>
      </c>
      <c r="F23" s="31">
        <f>IF(C23&lt;33*SQRT(235/E7),1,IF(C23&lt;38*SQRT(235/E7),2,3))</f>
        <v>1</v>
      </c>
    </row>
    <row r="25" spans="1:6" x14ac:dyDescent="0.25">
      <c r="A25" s="34" t="s">
        <v>169</v>
      </c>
    </row>
    <row r="26" spans="1:6" x14ac:dyDescent="0.25">
      <c r="B26" s="29" t="s">
        <v>168</v>
      </c>
      <c r="C26" s="30">
        <f>(B10-2*B13-B11)/2/B12</f>
        <v>4.1411764705882357</v>
      </c>
      <c r="D26" s="35" t="s">
        <v>170</v>
      </c>
      <c r="E26" s="36">
        <f>IF(C23&lt;9*SQRT(235/E7),9*SQRT(235/E7),IF(C23&lt;10*SQRT(235/E7),10*SQRT(235/E7),14*SQRT(235/E7)))</f>
        <v>12.941827888320455</v>
      </c>
      <c r="F26" s="31">
        <f>IF(C26&lt;72*SQRT(235/E7),1,IF(C26&lt;83*SQRT(235/E7),2,3))</f>
        <v>1</v>
      </c>
    </row>
    <row r="28" spans="1:6" x14ac:dyDescent="0.25">
      <c r="A28" s="34"/>
      <c r="D28" s="37" t="s">
        <v>171</v>
      </c>
      <c r="E28" s="37"/>
      <c r="F28" s="38">
        <f>MAX(F23,F26)</f>
        <v>1</v>
      </c>
    </row>
    <row r="30" spans="1:6" x14ac:dyDescent="0.25">
      <c r="A30" s="27" t="s">
        <v>198</v>
      </c>
    </row>
    <row r="32" spans="1:6" ht="15" x14ac:dyDescent="0.3">
      <c r="A32" s="29" t="s">
        <v>183</v>
      </c>
      <c r="B32" s="31">
        <v>1.05</v>
      </c>
    </row>
    <row r="34" spans="1:4" ht="15" x14ac:dyDescent="0.3">
      <c r="A34" s="29" t="s">
        <v>180</v>
      </c>
      <c r="B34" s="30">
        <f>1.3*(E9+B2)+1.5*B3</f>
        <v>7.390680307636968</v>
      </c>
      <c r="C34" s="28" t="s">
        <v>142</v>
      </c>
    </row>
    <row r="36" spans="1:4" ht="15" x14ac:dyDescent="0.3">
      <c r="A36" s="29" t="s">
        <v>199</v>
      </c>
      <c r="B36" s="30">
        <f>1.5*E3</f>
        <v>450</v>
      </c>
      <c r="C36" s="28" t="s">
        <v>173</v>
      </c>
    </row>
    <row r="37" spans="1:4" ht="15" x14ac:dyDescent="0.3">
      <c r="A37" s="29" t="s">
        <v>206</v>
      </c>
      <c r="B37" s="30">
        <f>B34*E2/2</f>
        <v>18.476700769092421</v>
      </c>
      <c r="C37" s="28" t="s">
        <v>173</v>
      </c>
    </row>
    <row r="38" spans="1:4" ht="15" x14ac:dyDescent="0.3">
      <c r="A38" s="29" t="s">
        <v>207</v>
      </c>
      <c r="B38" s="30">
        <f>B34*E2^2/8</f>
        <v>23.095875961365525</v>
      </c>
      <c r="C38" s="28" t="s">
        <v>179</v>
      </c>
    </row>
    <row r="39" spans="1:4" x14ac:dyDescent="0.25">
      <c r="A39" s="29"/>
      <c r="B39" s="30"/>
    </row>
    <row r="40" spans="1:4" x14ac:dyDescent="0.25">
      <c r="A40" s="29"/>
    </row>
    <row r="41" spans="1:4" x14ac:dyDescent="0.25">
      <c r="A41" s="40" t="s">
        <v>184</v>
      </c>
    </row>
    <row r="42" spans="1:4" ht="16.5" x14ac:dyDescent="0.3">
      <c r="A42" s="29" t="s">
        <v>181</v>
      </c>
      <c r="B42" s="28">
        <f>D17</f>
        <v>220638.64730170404</v>
      </c>
      <c r="C42" s="28" t="s">
        <v>182</v>
      </c>
    </row>
    <row r="43" spans="1:4" ht="15" x14ac:dyDescent="0.3">
      <c r="A43" s="29" t="s">
        <v>195</v>
      </c>
      <c r="B43" s="30">
        <f>B42*E7/B32/1000000</f>
        <v>57.786312388541532</v>
      </c>
      <c r="C43" s="28" t="s">
        <v>179</v>
      </c>
    </row>
    <row r="44" spans="1:4" x14ac:dyDescent="0.25">
      <c r="A44" s="29" t="s">
        <v>200</v>
      </c>
      <c r="B44" s="30">
        <f>B36/(E10*E7/B32)*1000</f>
        <v>0.60320720027735242</v>
      </c>
    </row>
    <row r="45" spans="1:4" x14ac:dyDescent="0.25">
      <c r="A45" s="29" t="s">
        <v>201</v>
      </c>
      <c r="B45" s="41">
        <f>IF((E10-2*B10*B12)/E10&lt;0.5,(E10-2*B10*B12)/E10,0.5)</f>
        <v>0.40317594469912754</v>
      </c>
    </row>
    <row r="46" spans="1:4" ht="15" x14ac:dyDescent="0.3">
      <c r="A46" s="29" t="s">
        <v>202</v>
      </c>
      <c r="B46" s="30">
        <f>IF((1-B44)/(1-0.5*B45)*B43&lt;B43,(1-B44)/(1-0.5*B45)*B43,B43)</f>
        <v>28.718496069971348</v>
      </c>
      <c r="C46" s="28" t="s">
        <v>179</v>
      </c>
    </row>
    <row r="47" spans="1:4" x14ac:dyDescent="0.25">
      <c r="A47" s="29"/>
      <c r="B47" s="30"/>
    </row>
    <row r="48" spans="1:4" ht="15" x14ac:dyDescent="0.3">
      <c r="C48" s="29" t="s">
        <v>227</v>
      </c>
      <c r="D48" s="41">
        <f>B38/B46</f>
        <v>0.8042160670633115</v>
      </c>
    </row>
    <row r="50" spans="1:4" x14ac:dyDescent="0.25">
      <c r="A50" s="40" t="s">
        <v>185</v>
      </c>
    </row>
    <row r="51" spans="1:4" ht="16.5" x14ac:dyDescent="0.3">
      <c r="A51" s="29" t="s">
        <v>186</v>
      </c>
      <c r="B51" s="39">
        <f>C17</f>
        <v>194316.61975305332</v>
      </c>
      <c r="C51" s="28" t="s">
        <v>182</v>
      </c>
    </row>
    <row r="52" spans="1:4" ht="15" x14ac:dyDescent="0.3">
      <c r="A52" s="29" t="s">
        <v>190</v>
      </c>
      <c r="B52" s="30">
        <f>B51*E7/B32/1000000</f>
        <v>50.892448030561582</v>
      </c>
      <c r="C52" s="28" t="s">
        <v>179</v>
      </c>
    </row>
    <row r="53" spans="1:4" ht="15" x14ac:dyDescent="0.3">
      <c r="A53" s="29" t="s">
        <v>204</v>
      </c>
      <c r="B53" s="30">
        <f>E10*E7/B32/1000</f>
        <v>746.01231515985171</v>
      </c>
      <c r="C53" s="28" t="s">
        <v>173</v>
      </c>
    </row>
    <row r="56" spans="1:4" ht="15" x14ac:dyDescent="0.3">
      <c r="C56" s="29" t="s">
        <v>203</v>
      </c>
      <c r="D56" s="41">
        <f>B36/B53+B38/B52</f>
        <v>1.0570245514783823</v>
      </c>
    </row>
    <row r="57" spans="1:4" x14ac:dyDescent="0.25">
      <c r="A57" s="27"/>
    </row>
    <row r="59" spans="1:4" x14ac:dyDescent="0.25">
      <c r="A59" s="29"/>
      <c r="B59" s="31"/>
    </row>
    <row r="61" spans="1:4" x14ac:dyDescent="0.25">
      <c r="A61" s="29"/>
      <c r="B61" s="30"/>
    </row>
    <row r="63" spans="1:4" x14ac:dyDescent="0.25">
      <c r="A63" s="29"/>
      <c r="B63" s="30"/>
    </row>
    <row r="64" spans="1:4" x14ac:dyDescent="0.25">
      <c r="A64" s="29"/>
      <c r="B64" s="30"/>
    </row>
    <row r="66" spans="1:3" x14ac:dyDescent="0.25">
      <c r="A66" s="29"/>
      <c r="B66" s="39"/>
    </row>
    <row r="67" spans="1:3" x14ac:dyDescent="0.25">
      <c r="A67" s="29"/>
      <c r="B67" s="30"/>
    </row>
    <row r="69" spans="1:3" x14ac:dyDescent="0.25">
      <c r="B69" s="29"/>
      <c r="C69" s="41"/>
    </row>
    <row r="72" spans="1:3" x14ac:dyDescent="0.25">
      <c r="A72" s="29"/>
      <c r="B72" s="41"/>
    </row>
    <row r="73" spans="1:3" x14ac:dyDescent="0.25">
      <c r="A73" s="29"/>
      <c r="B73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40" workbookViewId="0">
      <selection activeCell="F48" sqref="F48"/>
    </sheetView>
  </sheetViews>
  <sheetFormatPr defaultRowHeight="13.5" x14ac:dyDescent="0.25"/>
  <cols>
    <col min="1" max="6" width="10.7109375" style="28" customWidth="1"/>
    <col min="7" max="16384" width="9.140625" style="28"/>
  </cols>
  <sheetData>
    <row r="1" spans="1:6" x14ac:dyDescent="0.25">
      <c r="A1" s="27" t="s">
        <v>143</v>
      </c>
    </row>
    <row r="2" spans="1:6" ht="15" x14ac:dyDescent="0.3">
      <c r="A2" s="29" t="s">
        <v>150</v>
      </c>
      <c r="B2" s="30">
        <v>2</v>
      </c>
      <c r="C2" s="28" t="s">
        <v>142</v>
      </c>
      <c r="D2" s="29" t="s">
        <v>175</v>
      </c>
      <c r="E2" s="30">
        <v>5</v>
      </c>
      <c r="F2" s="28" t="s">
        <v>176</v>
      </c>
    </row>
    <row r="3" spans="1:6" ht="15" x14ac:dyDescent="0.3">
      <c r="A3" s="29" t="s">
        <v>151</v>
      </c>
      <c r="B3" s="30">
        <v>3</v>
      </c>
      <c r="C3" s="28" t="s">
        <v>142</v>
      </c>
      <c r="D3" s="29" t="s">
        <v>197</v>
      </c>
      <c r="E3" s="30">
        <v>300</v>
      </c>
      <c r="F3" s="28" t="s">
        <v>173</v>
      </c>
    </row>
    <row r="4" spans="1:6" x14ac:dyDescent="0.25">
      <c r="D4" s="29" t="s">
        <v>214</v>
      </c>
      <c r="E4" s="31">
        <v>0.05</v>
      </c>
    </row>
    <row r="5" spans="1:6" x14ac:dyDescent="0.25">
      <c r="A5" s="27" t="s">
        <v>144</v>
      </c>
    </row>
    <row r="7" spans="1:6" x14ac:dyDescent="0.25">
      <c r="A7" s="31" t="s">
        <v>0</v>
      </c>
      <c r="B7" s="31">
        <v>200</v>
      </c>
      <c r="D7" s="29" t="s">
        <v>166</v>
      </c>
      <c r="E7" s="31">
        <v>275</v>
      </c>
    </row>
    <row r="9" spans="1:6" ht="15" x14ac:dyDescent="0.3">
      <c r="A9" s="29" t="s">
        <v>145</v>
      </c>
      <c r="B9" s="31">
        <f>VLOOKUP(CONCATENATE(A7," ",B7),Sagomario!A6:AU58,2,FALSE)</f>
        <v>200</v>
      </c>
      <c r="C9" s="28" t="s">
        <v>46</v>
      </c>
      <c r="D9" s="29" t="s">
        <v>174</v>
      </c>
      <c r="E9" s="30">
        <f>VLOOKUP(CONCATENATE(A7," ",B7),Sagomario!A6:AU58,8,FALSE)/100</f>
        <v>0.223600236643821</v>
      </c>
      <c r="F9" s="28" t="s">
        <v>142</v>
      </c>
    </row>
    <row r="10" spans="1:6" ht="15.75" x14ac:dyDescent="0.25">
      <c r="A10" s="29" t="s">
        <v>146</v>
      </c>
      <c r="B10" s="31">
        <f>VLOOKUP(CONCATENATE(A7," ",B7),Sagomario!A6:AU58,3,FALSE)</f>
        <v>100</v>
      </c>
      <c r="C10" s="28" t="s">
        <v>46</v>
      </c>
      <c r="D10" s="29" t="s">
        <v>148</v>
      </c>
      <c r="E10" s="30">
        <f>VLOOKUP(CONCATENATE(A7," ",B7),Sagomario!A6:AU58,9,FALSE)*100</f>
        <v>2848.4106578830701</v>
      </c>
      <c r="F10" s="28" t="s">
        <v>160</v>
      </c>
    </row>
    <row r="11" spans="1:6" ht="15" x14ac:dyDescent="0.3">
      <c r="A11" s="29" t="s">
        <v>152</v>
      </c>
      <c r="B11" s="31">
        <f>VLOOKUP(CONCATENATE(A7," ",B7),Sagomario!A6:AU58,4,FALSE)</f>
        <v>5.6</v>
      </c>
      <c r="C11" s="28" t="s">
        <v>46</v>
      </c>
      <c r="D11" s="29"/>
    </row>
    <row r="12" spans="1:6" ht="15" x14ac:dyDescent="0.3">
      <c r="A12" s="29" t="s">
        <v>153</v>
      </c>
      <c r="B12" s="31">
        <f>VLOOKUP(CONCATENATE(A7," ",B7),Sagomario!A6:AU58,5,FALSE)</f>
        <v>8.5</v>
      </c>
      <c r="C12" s="28" t="s">
        <v>46</v>
      </c>
      <c r="D12" s="29"/>
    </row>
    <row r="13" spans="1:6" x14ac:dyDescent="0.25">
      <c r="A13" s="29" t="s">
        <v>147</v>
      </c>
      <c r="B13" s="31">
        <f>VLOOKUP(CONCATENATE(A7," ",B7),Sagomario!A6:AU58,6,FALSE)</f>
        <v>12</v>
      </c>
      <c r="C13" s="28" t="s">
        <v>46</v>
      </c>
    </row>
    <row r="15" spans="1:6" ht="15" x14ac:dyDescent="0.3">
      <c r="B15" s="32" t="s">
        <v>154</v>
      </c>
      <c r="C15" s="32" t="s">
        <v>164</v>
      </c>
      <c r="D15" s="32" t="s">
        <v>163</v>
      </c>
      <c r="E15" s="32" t="s">
        <v>162</v>
      </c>
      <c r="F15" s="32" t="s">
        <v>161</v>
      </c>
    </row>
    <row r="16" spans="1:6" ht="15.75" x14ac:dyDescent="0.25">
      <c r="B16" s="31" t="s">
        <v>157</v>
      </c>
      <c r="C16" s="31" t="s">
        <v>158</v>
      </c>
      <c r="D16" s="31" t="s">
        <v>158</v>
      </c>
      <c r="E16" s="31" t="s">
        <v>149</v>
      </c>
      <c r="F16" s="31" t="s">
        <v>159</v>
      </c>
    </row>
    <row r="17" spans="1:6" x14ac:dyDescent="0.25">
      <c r="A17" s="31" t="s">
        <v>155</v>
      </c>
      <c r="B17" s="33">
        <f>VLOOKUP(CONCATENATE(A7," ",B7),Sagomario!A6:AU58,28,FALSE)*10000</f>
        <v>19431661.975305334</v>
      </c>
      <c r="C17" s="39">
        <f>VLOOKUP(CONCATENATE(A7," ",B7),Sagomario!A6:AU58,29,FALSE)*1000</f>
        <v>194316.61975305332</v>
      </c>
      <c r="D17" s="39">
        <f>VLOOKUP(CONCATENATE(A7," ",B7),Sagomario!A6:AU58,30,FALSE)*1000</f>
        <v>220638.64730170404</v>
      </c>
      <c r="E17" s="39">
        <f>VLOOKUP(CONCATENATE(A7," ",B7),Sagomario!A6:AU58,31,FALSE)*10</f>
        <v>82.594983829091802</v>
      </c>
      <c r="F17" s="39">
        <f>E10-2*B10*B12+(B11+2*B13)*B12</f>
        <v>1400.0106578830701</v>
      </c>
    </row>
    <row r="18" spans="1:6" x14ac:dyDescent="0.25">
      <c r="A18" s="31" t="s">
        <v>156</v>
      </c>
      <c r="B18" s="33">
        <f>VLOOKUP(CONCATENATE(A7," ",B7),Sagomario!A6:AU58,33,FALSE)*10000</f>
        <v>1423680.0202865896</v>
      </c>
      <c r="C18" s="39">
        <f>VLOOKUP(CONCATENATE(A7," ",B7),Sagomario!A6:AU58,34,FALSE)*1000</f>
        <v>28473.600405731795</v>
      </c>
      <c r="D18" s="39">
        <f>VLOOKUP(CONCATENATE(A7," ",B7),Sagomario!A6:AU58,35,FALSE)*1000</f>
        <v>44612.157736669433</v>
      </c>
      <c r="E18" s="39">
        <f>VLOOKUP(CONCATENATE(A7," ",B7),Sagomario!A6:AU58,36,FALSE)*10</f>
        <v>22.356555600726928</v>
      </c>
      <c r="F18" s="39">
        <f>E10-B11*(B9-2*B12)</f>
        <v>1823.6106578830702</v>
      </c>
    </row>
    <row r="20" spans="1:6" x14ac:dyDescent="0.25">
      <c r="A20" s="27" t="s">
        <v>165</v>
      </c>
    </row>
    <row r="22" spans="1:6" x14ac:dyDescent="0.25">
      <c r="A22" s="34" t="s">
        <v>167</v>
      </c>
    </row>
    <row r="23" spans="1:6" x14ac:dyDescent="0.25">
      <c r="B23" s="29" t="s">
        <v>168</v>
      </c>
      <c r="C23" s="30">
        <f>(B9-2*(B12+B13))/B11</f>
        <v>28.392857142857146</v>
      </c>
      <c r="D23" s="35" t="s">
        <v>170</v>
      </c>
      <c r="E23" s="36">
        <f>IF(C23&lt;72*SQRT(235/E7),72*SQRT(235/E7),IF(C23&lt;83*SQRT(235/E7),83*SQRT(235/E7),124*SQRT(235/E7)))</f>
        <v>66.557971997076635</v>
      </c>
      <c r="F23" s="31">
        <f>IF(C23&lt;72*SQRT(235/E7),1,IF(C23&lt;83*SQRT(235/E7),2,3))</f>
        <v>1</v>
      </c>
    </row>
    <row r="25" spans="1:6" x14ac:dyDescent="0.25">
      <c r="A25" s="34" t="s">
        <v>169</v>
      </c>
    </row>
    <row r="26" spans="1:6" x14ac:dyDescent="0.25">
      <c r="B26" s="29" t="s">
        <v>168</v>
      </c>
      <c r="C26" s="30">
        <f>(B10-2*B13-B11)/2/B12</f>
        <v>4.1411764705882357</v>
      </c>
      <c r="D26" s="35" t="s">
        <v>170</v>
      </c>
      <c r="E26" s="36">
        <f>IF(C26&lt;9*SQRT(235/E7),9*SQRT(235/E7),IF(C26&lt;10*SQRT(235/E7),10*SQRT(235/E7),14*SQRT(235/E7)))</f>
        <v>8.3197464996345794</v>
      </c>
      <c r="F26" s="31">
        <f>IF(C26&lt;72*SQRT(235/E7),1,IF(C26&lt;83*SQRT(235/E7),2,3))</f>
        <v>1</v>
      </c>
    </row>
    <row r="28" spans="1:6" x14ac:dyDescent="0.25">
      <c r="A28" s="34"/>
      <c r="D28" s="37" t="s">
        <v>171</v>
      </c>
      <c r="E28" s="37"/>
      <c r="F28" s="38">
        <f>MAX(F23,F26)</f>
        <v>1</v>
      </c>
    </row>
    <row r="30" spans="1:6" x14ac:dyDescent="0.25">
      <c r="A30" s="27" t="s">
        <v>217</v>
      </c>
    </row>
    <row r="32" spans="1:6" ht="15" x14ac:dyDescent="0.3">
      <c r="A32" s="29" t="s">
        <v>183</v>
      </c>
      <c r="B32" s="31">
        <v>1.05</v>
      </c>
      <c r="D32" s="29" t="s">
        <v>199</v>
      </c>
      <c r="E32" s="30">
        <f>1.5*E3</f>
        <v>450</v>
      </c>
      <c r="F32" s="28" t="s">
        <v>173</v>
      </c>
    </row>
    <row r="34" spans="1:6" ht="15" x14ac:dyDescent="0.3">
      <c r="A34" s="29" t="s">
        <v>180</v>
      </c>
      <c r="B34" s="30">
        <f>(1.3*(E9+B2)+1.5*B3)*COS(ATAN(E4))</f>
        <v>7.3814592431508501</v>
      </c>
      <c r="C34" s="28" t="s">
        <v>142</v>
      </c>
      <c r="D34" s="29" t="s">
        <v>205</v>
      </c>
      <c r="E34" s="30">
        <f>(1.3*(H9+E2)+1.5*E4)*SIN(ATAN(E4))</f>
        <v>0.32833983140609146</v>
      </c>
      <c r="F34" s="28" t="s">
        <v>142</v>
      </c>
    </row>
    <row r="36" spans="1:6" ht="15" x14ac:dyDescent="0.3">
      <c r="A36" s="29" t="s">
        <v>206</v>
      </c>
      <c r="B36" s="30">
        <f>B34*E2/2</f>
        <v>18.453648107877125</v>
      </c>
      <c r="C36" s="28" t="s">
        <v>173</v>
      </c>
      <c r="D36" s="29" t="s">
        <v>208</v>
      </c>
      <c r="E36" s="30">
        <f>E34*E2/2</f>
        <v>0.82084957851522866</v>
      </c>
      <c r="F36" s="28" t="s">
        <v>173</v>
      </c>
    </row>
    <row r="37" spans="1:6" ht="15" x14ac:dyDescent="0.3">
      <c r="A37" s="29" t="s">
        <v>207</v>
      </c>
      <c r="B37" s="30">
        <f>B34*E2^2/8</f>
        <v>23.067060134846407</v>
      </c>
      <c r="C37" s="28" t="s">
        <v>179</v>
      </c>
      <c r="D37" s="29" t="s">
        <v>209</v>
      </c>
      <c r="E37" s="30">
        <f>E34*E2^2/8</f>
        <v>1.0260619731440359</v>
      </c>
      <c r="F37" s="28" t="s">
        <v>179</v>
      </c>
    </row>
    <row r="38" spans="1:6" x14ac:dyDescent="0.25">
      <c r="A38" s="29"/>
      <c r="D38" s="29"/>
    </row>
    <row r="39" spans="1:6" x14ac:dyDescent="0.25">
      <c r="A39" s="40" t="s">
        <v>184</v>
      </c>
      <c r="D39" s="40"/>
    </row>
    <row r="40" spans="1:6" ht="16.5" x14ac:dyDescent="0.3">
      <c r="A40" s="29" t="s">
        <v>181</v>
      </c>
      <c r="B40" s="31">
        <f>D17</f>
        <v>220638.64730170404</v>
      </c>
      <c r="C40" s="28" t="s">
        <v>182</v>
      </c>
      <c r="D40" s="29" t="s">
        <v>210</v>
      </c>
      <c r="E40" s="39">
        <f>D18</f>
        <v>44612.157736669433</v>
      </c>
      <c r="F40" s="28" t="s">
        <v>182</v>
      </c>
    </row>
    <row r="41" spans="1:6" ht="15" x14ac:dyDescent="0.3">
      <c r="A41" s="29" t="s">
        <v>195</v>
      </c>
      <c r="B41" s="30">
        <f>B40*E7/B32/1000000</f>
        <v>57.786312388541532</v>
      </c>
      <c r="C41" s="28" t="s">
        <v>179</v>
      </c>
      <c r="D41" s="29" t="s">
        <v>211</v>
      </c>
      <c r="E41" s="30">
        <f>E40*E7/B32/1000000</f>
        <v>11.684136550080089</v>
      </c>
      <c r="F41" s="28" t="s">
        <v>179</v>
      </c>
    </row>
    <row r="42" spans="1:6" x14ac:dyDescent="0.25">
      <c r="A42" s="29" t="s">
        <v>200</v>
      </c>
      <c r="B42" s="30">
        <f>E32/(E10*E7/B32)*1000</f>
        <v>0.60320720027735242</v>
      </c>
    </row>
    <row r="43" spans="1:6" x14ac:dyDescent="0.25">
      <c r="A43" s="29" t="s">
        <v>201</v>
      </c>
      <c r="B43" s="41">
        <f>IF((E10-2*B10*B12)/E10&lt;0.5,(E10-2*B10*B12)/E10,0.5)</f>
        <v>0.40317594469912754</v>
      </c>
    </row>
    <row r="45" spans="1:6" ht="15" x14ac:dyDescent="0.3">
      <c r="A45" s="29" t="s">
        <v>202</v>
      </c>
      <c r="B45" s="30">
        <f>IF((1-B42)/(1-0.5*B43)*B41&lt;B41,(1-B42)/(1-0.5*B43)*B41,B41)</f>
        <v>28.718496069971348</v>
      </c>
      <c r="C45" s="28" t="s">
        <v>179</v>
      </c>
      <c r="D45" s="29" t="s">
        <v>215</v>
      </c>
      <c r="E45" s="30">
        <f>IF(B42&lt;=B43,E41,E41*(1-((B42-B43)/(1-B43)))^2)</f>
        <v>5.1645388746799741</v>
      </c>
      <c r="F45" s="28" t="s">
        <v>179</v>
      </c>
    </row>
    <row r="47" spans="1:6" x14ac:dyDescent="0.25">
      <c r="A47" s="40"/>
    </row>
    <row r="48" spans="1:6" ht="16.5" x14ac:dyDescent="0.3">
      <c r="A48" s="29"/>
      <c r="B48" s="39"/>
      <c r="E48" s="29" t="s">
        <v>226</v>
      </c>
      <c r="F48" s="41">
        <f>(B37/B45)^2+(E37/E45)^(5*IF(B42&lt;0.2,0.2,B42))</f>
        <v>0.65279197426537539</v>
      </c>
    </row>
    <row r="49" spans="1:6" x14ac:dyDescent="0.25">
      <c r="A49" s="29"/>
      <c r="B49" s="30"/>
      <c r="D49" s="29"/>
      <c r="E49" s="30"/>
    </row>
    <row r="50" spans="1:6" x14ac:dyDescent="0.25">
      <c r="A50" s="40" t="s">
        <v>185</v>
      </c>
    </row>
    <row r="51" spans="1:6" ht="16.5" x14ac:dyDescent="0.3">
      <c r="A51" s="29" t="s">
        <v>186</v>
      </c>
      <c r="B51" s="39">
        <f>C17</f>
        <v>194316.61975305332</v>
      </c>
      <c r="C51" s="28" t="s">
        <v>182</v>
      </c>
      <c r="D51" s="29" t="s">
        <v>212</v>
      </c>
      <c r="E51" s="39">
        <f>C18</f>
        <v>28473.600405731795</v>
      </c>
      <c r="F51" s="28" t="s">
        <v>182</v>
      </c>
    </row>
    <row r="52" spans="1:6" ht="15" x14ac:dyDescent="0.3">
      <c r="A52" s="29" t="s">
        <v>190</v>
      </c>
      <c r="B52" s="30">
        <f>B51*E7/B32/1000000</f>
        <v>50.892448030561582</v>
      </c>
      <c r="C52" s="28" t="s">
        <v>179</v>
      </c>
      <c r="D52" s="29" t="s">
        <v>213</v>
      </c>
      <c r="E52" s="30">
        <f>E51*E7/B32/1000000</f>
        <v>7.4573715348345173</v>
      </c>
      <c r="F52" s="28" t="s">
        <v>179</v>
      </c>
    </row>
    <row r="53" spans="1:6" ht="15" x14ac:dyDescent="0.3">
      <c r="A53" s="29" t="s">
        <v>204</v>
      </c>
      <c r="B53" s="30">
        <f>E10*E7/B32/1000</f>
        <v>746.01231515985171</v>
      </c>
      <c r="C53" s="28" t="s">
        <v>173</v>
      </c>
      <c r="D53" s="29"/>
      <c r="E53" s="30"/>
    </row>
    <row r="54" spans="1:6" x14ac:dyDescent="0.25">
      <c r="D54" s="27"/>
    </row>
    <row r="56" spans="1:6" ht="15" x14ac:dyDescent="0.3">
      <c r="E56" s="29" t="s">
        <v>216</v>
      </c>
      <c r="F56" s="41">
        <f>E32/B53+B37/B52+E37/E52</f>
        <v>1.1940486393963647</v>
      </c>
    </row>
    <row r="58" spans="1:6" x14ac:dyDescent="0.25">
      <c r="A58" s="27" t="s">
        <v>218</v>
      </c>
      <c r="B58" s="30"/>
      <c r="D58" s="29"/>
      <c r="E58" s="30"/>
    </row>
    <row r="60" spans="1:6" ht="15" x14ac:dyDescent="0.3">
      <c r="A60" s="29" t="s">
        <v>219</v>
      </c>
      <c r="B60" s="30">
        <f>((E9+B2)+B3)*COS(ATAN(E4))</f>
        <v>5.2170829537108796</v>
      </c>
      <c r="C60" s="28" t="s">
        <v>142</v>
      </c>
      <c r="D60" s="29" t="s">
        <v>220</v>
      </c>
      <c r="E60" s="30">
        <f>((E9+B2)+B3)*SIN(ATAN(E4))</f>
        <v>0.26085414768554399</v>
      </c>
      <c r="F60" s="28" t="s">
        <v>142</v>
      </c>
    </row>
    <row r="62" spans="1:6" ht="15" x14ac:dyDescent="0.3">
      <c r="A62" s="29" t="s">
        <v>221</v>
      </c>
      <c r="B62" s="30">
        <f>5/384*B60*(E2*1000)^4/(210000*B17)</f>
        <v>10.404406164900539</v>
      </c>
      <c r="C62" s="28" t="s">
        <v>46</v>
      </c>
      <c r="D62" s="29" t="s">
        <v>222</v>
      </c>
      <c r="E62" s="30">
        <f>5/384*E60*(E2*1000)^4/(210000*B18)</f>
        <v>7.1004334109230527</v>
      </c>
      <c r="F62" s="28" t="s">
        <v>46</v>
      </c>
    </row>
    <row r="63" spans="1:6" x14ac:dyDescent="0.25">
      <c r="A63" s="29"/>
      <c r="B63" s="39"/>
      <c r="D63" s="29"/>
      <c r="E63" s="39"/>
    </row>
    <row r="64" spans="1:6" ht="15" x14ac:dyDescent="0.3">
      <c r="A64" s="29" t="s">
        <v>223</v>
      </c>
      <c r="B64" s="30">
        <f>SQRT(B62^2+E62^2)</f>
        <v>12.596341622358958</v>
      </c>
      <c r="C64" s="28" t="s">
        <v>46</v>
      </c>
      <c r="D64" s="29" t="s">
        <v>225</v>
      </c>
      <c r="E64" s="42">
        <f>B64/(E2*1000)</f>
        <v>2.5192683244717917E-3</v>
      </c>
    </row>
    <row r="65" spans="1:6" x14ac:dyDescent="0.25">
      <c r="A65" s="29"/>
      <c r="B65" s="30"/>
    </row>
    <row r="67" spans="1:6" ht="15" x14ac:dyDescent="0.3">
      <c r="A67" s="29" t="s">
        <v>224</v>
      </c>
      <c r="B67" s="30">
        <f>B3*COS(ATAN(E4))</f>
        <v>2.9962570166335341</v>
      </c>
      <c r="C67" s="28" t="s">
        <v>142</v>
      </c>
      <c r="D67" s="29" t="s">
        <v>224</v>
      </c>
      <c r="E67" s="30">
        <f>B3*SIN(ATAN(E4))</f>
        <v>0.14981285083167672</v>
      </c>
      <c r="F67" s="28" t="s">
        <v>142</v>
      </c>
    </row>
    <row r="69" spans="1:6" ht="15" x14ac:dyDescent="0.3">
      <c r="A69" s="29" t="s">
        <v>221</v>
      </c>
      <c r="B69" s="30">
        <f>5/384*B67*(E2*1000)^4/(210000*B17)</f>
        <v>5.9754225209921881</v>
      </c>
      <c r="C69" s="28" t="s">
        <v>46</v>
      </c>
      <c r="D69" s="29" t="s">
        <v>222</v>
      </c>
      <c r="E69" s="30">
        <f>5/384*E67*(E2*1000)^4/(210000*B18)</f>
        <v>4.0778963296883735</v>
      </c>
      <c r="F69" s="28" t="s">
        <v>46</v>
      </c>
    </row>
    <row r="70" spans="1:6" x14ac:dyDescent="0.25">
      <c r="A70" s="29"/>
      <c r="B70" s="39"/>
      <c r="D70" s="29"/>
      <c r="E70" s="39"/>
    </row>
    <row r="71" spans="1:6" ht="15" x14ac:dyDescent="0.3">
      <c r="A71" s="29" t="s">
        <v>223</v>
      </c>
      <c r="B71" s="30">
        <f>SQRT(B69^2+E69^2)</f>
        <v>7.2342873028423851</v>
      </c>
      <c r="C71" s="28" t="s">
        <v>46</v>
      </c>
      <c r="D71" s="29" t="s">
        <v>225</v>
      </c>
      <c r="E71" s="42">
        <f>B71/(E2*1000)</f>
        <v>1.446857460568477E-3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Sagomario</vt:lpstr>
      <vt:lpstr>Flessione</vt:lpstr>
      <vt:lpstr>PF</vt:lpstr>
      <vt:lpstr>FlesDev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2012-03-07T07:17:20Z</dcterms:created>
  <dcterms:modified xsi:type="dcterms:W3CDTF">2012-03-07T20:13:49Z</dcterms:modified>
</cp:coreProperties>
</file>